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codeName="ThisWorkbook" autoCompressPictures="0"/>
  <xr:revisionPtr revIDLastSave="0" documentId="13_ncr:1_{B4C4A858-D297-430A-95B6-D0E0B0F97815}" xr6:coauthVersionLast="44" xr6:coauthVersionMax="44" xr10:uidLastSave="{00000000-0000-0000-0000-000000000000}"/>
  <bookViews>
    <workbookView xWindow="-120" yWindow="-120" windowWidth="29040" windowHeight="15840" tabRatio="500" xr2:uid="{00000000-000D-0000-FFFF-FFFF00000000}"/>
  </bookViews>
  <sheets>
    <sheet name="Introducción" sheetId="24" r:id="rId1"/>
    <sheet name="Modelo AHP" sheetId="1" r:id="rId2"/>
    <sheet name="Índices y Ranking Barrios " sheetId="25" r:id="rId3"/>
    <sheet name="Índices y Ranking Barrio Orden" sheetId="28" r:id="rId4"/>
    <sheet name="Mapa Barrios IVR 2020" sheetId="29" r:id="rId5"/>
    <sheet name="Indices por Distritos" sheetId="20" r:id="rId6"/>
    <sheet name="aux" sheetId="4" r:id="rId7"/>
    <sheet name="correla" sheetId="12" state="hidden" r:id="rId8"/>
    <sheet name="Gráficos" sheetId="10" state="hidden" r:id="rId9"/>
    <sheet name="Fuentes de datos" sheetId="13" r:id="rId10"/>
  </sheets>
  <externalReferences>
    <externalReference r:id="rId11"/>
  </externalReferences>
  <definedNames>
    <definedName name="_xlnm._FilterDatabase" localSheetId="6" hidden="1">aux!$A$4:$AJ$4</definedName>
    <definedName name="_xlnm._FilterDatabase" localSheetId="5" hidden="1">'Indices por Distritos'!$B$3:$D$3</definedName>
    <definedName name="_xlnm._FilterDatabase" localSheetId="2" hidden="1">'Índices y Ranking Barrios '!$A$3:$U$3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66" i="28" l="1"/>
  <c r="Q66" i="28"/>
  <c r="R66" i="28"/>
  <c r="S66" i="28"/>
  <c r="T66" i="28"/>
  <c r="U66" i="28"/>
  <c r="P48" i="28"/>
  <c r="Q48" i="28"/>
  <c r="R48" i="28"/>
  <c r="S48" i="28"/>
  <c r="T48" i="28"/>
  <c r="U48" i="28"/>
  <c r="P67" i="28"/>
  <c r="Q67" i="28"/>
  <c r="R67" i="28"/>
  <c r="S67" i="28"/>
  <c r="T67" i="28"/>
  <c r="U67" i="28"/>
  <c r="P69" i="28"/>
  <c r="Q69" i="28"/>
  <c r="R69" i="28"/>
  <c r="S69" i="28"/>
  <c r="T69" i="28"/>
  <c r="U69" i="28"/>
  <c r="P65" i="28"/>
  <c r="Q65" i="28"/>
  <c r="R65" i="28"/>
  <c r="S65" i="28"/>
  <c r="T65" i="28"/>
  <c r="U65" i="28"/>
  <c r="P61" i="28"/>
  <c r="Q61" i="28"/>
  <c r="R61" i="28"/>
  <c r="S61" i="28"/>
  <c r="T61" i="28"/>
  <c r="U61" i="28"/>
  <c r="P91" i="28"/>
  <c r="Q91" i="28"/>
  <c r="R91" i="28"/>
  <c r="S91" i="28"/>
  <c r="T91" i="28"/>
  <c r="U91" i="28"/>
  <c r="P90" i="28"/>
  <c r="Q90" i="28"/>
  <c r="R90" i="28"/>
  <c r="S90" i="28"/>
  <c r="T90" i="28"/>
  <c r="U90" i="28"/>
  <c r="P72" i="28"/>
  <c r="Q72" i="28"/>
  <c r="R72" i="28"/>
  <c r="S72" i="28"/>
  <c r="T72" i="28"/>
  <c r="U72" i="28"/>
  <c r="P111" i="28"/>
  <c r="Q111" i="28"/>
  <c r="R111" i="28"/>
  <c r="S111" i="28"/>
  <c r="T111" i="28"/>
  <c r="U111" i="28"/>
  <c r="P88" i="28"/>
  <c r="Q88" i="28"/>
  <c r="R88" i="28"/>
  <c r="S88" i="28"/>
  <c r="T88" i="28"/>
  <c r="U88" i="28"/>
  <c r="P80" i="28"/>
  <c r="Q80" i="28"/>
  <c r="R80" i="28"/>
  <c r="S80" i="28"/>
  <c r="T80" i="28"/>
  <c r="U80" i="28"/>
  <c r="P84" i="28"/>
  <c r="Q84" i="28"/>
  <c r="R84" i="28"/>
  <c r="S84" i="28"/>
  <c r="T84" i="28"/>
  <c r="U84" i="28"/>
  <c r="P101" i="28"/>
  <c r="Q101" i="28"/>
  <c r="R101" i="28"/>
  <c r="S101" i="28"/>
  <c r="T101" i="28"/>
  <c r="U101" i="28"/>
  <c r="P103" i="28"/>
  <c r="Q103" i="28"/>
  <c r="R103" i="28"/>
  <c r="S103" i="28"/>
  <c r="T103" i="28"/>
  <c r="U103" i="28"/>
  <c r="P122" i="28"/>
  <c r="Q122" i="28"/>
  <c r="R122" i="28"/>
  <c r="S122" i="28"/>
  <c r="T122" i="28"/>
  <c r="U122" i="28"/>
  <c r="P105" i="28"/>
  <c r="Q105" i="28"/>
  <c r="R105" i="28"/>
  <c r="S105" i="28"/>
  <c r="T105" i="28"/>
  <c r="U105" i="28"/>
  <c r="P127" i="28"/>
  <c r="Q127" i="28"/>
  <c r="R127" i="28"/>
  <c r="S127" i="28"/>
  <c r="T127" i="28"/>
  <c r="U127" i="28"/>
  <c r="P131" i="28"/>
  <c r="Q131" i="28"/>
  <c r="R131" i="28"/>
  <c r="S131" i="28"/>
  <c r="T131" i="28"/>
  <c r="U131" i="28"/>
  <c r="P132" i="28"/>
  <c r="Q132" i="28"/>
  <c r="R132" i="28"/>
  <c r="S132" i="28"/>
  <c r="T132" i="28"/>
  <c r="U132" i="28"/>
  <c r="P115" i="28"/>
  <c r="Q115" i="28"/>
  <c r="R115" i="28"/>
  <c r="S115" i="28"/>
  <c r="T115" i="28"/>
  <c r="U115" i="28"/>
  <c r="P95" i="28"/>
  <c r="Q95" i="28"/>
  <c r="R95" i="28"/>
  <c r="S95" i="28"/>
  <c r="T95" i="28"/>
  <c r="U95" i="28"/>
  <c r="P108" i="28"/>
  <c r="Q108" i="28"/>
  <c r="R108" i="28"/>
  <c r="S108" i="28"/>
  <c r="T108" i="28"/>
  <c r="U108" i="28"/>
  <c r="P112" i="28"/>
  <c r="Q112" i="28"/>
  <c r="R112" i="28"/>
  <c r="S112" i="28"/>
  <c r="T112" i="28"/>
  <c r="U112" i="28"/>
  <c r="P126" i="28"/>
  <c r="Q126" i="28"/>
  <c r="R126" i="28"/>
  <c r="S126" i="28"/>
  <c r="T126" i="28"/>
  <c r="U126" i="28"/>
  <c r="P134" i="28"/>
  <c r="Q134" i="28"/>
  <c r="R134" i="28"/>
  <c r="S134" i="28"/>
  <c r="T134" i="28"/>
  <c r="U134" i="28"/>
  <c r="P96" i="28"/>
  <c r="Q96" i="28"/>
  <c r="R96" i="28"/>
  <c r="S96" i="28"/>
  <c r="T96" i="28"/>
  <c r="U96" i="28"/>
  <c r="P97" i="28"/>
  <c r="Q97" i="28"/>
  <c r="R97" i="28"/>
  <c r="S97" i="28"/>
  <c r="T97" i="28"/>
  <c r="U97" i="28"/>
  <c r="P128" i="28"/>
  <c r="Q128" i="28"/>
  <c r="R128" i="28"/>
  <c r="S128" i="28"/>
  <c r="T128" i="28"/>
  <c r="U128" i="28"/>
  <c r="P133" i="28"/>
  <c r="Q133" i="28"/>
  <c r="R133" i="28"/>
  <c r="S133" i="28"/>
  <c r="T133" i="28"/>
  <c r="U133" i="28"/>
  <c r="P113" i="28"/>
  <c r="Q113" i="28"/>
  <c r="R113" i="28"/>
  <c r="S113" i="28"/>
  <c r="T113" i="28"/>
  <c r="U113" i="28"/>
  <c r="P49" i="28"/>
  <c r="Q49" i="28"/>
  <c r="R49" i="28"/>
  <c r="S49" i="28"/>
  <c r="T49" i="28"/>
  <c r="U49" i="28"/>
  <c r="P76" i="28"/>
  <c r="Q76" i="28"/>
  <c r="R76" i="28"/>
  <c r="S76" i="28"/>
  <c r="T76" i="28"/>
  <c r="U76" i="28"/>
  <c r="P79" i="28"/>
  <c r="Q79" i="28"/>
  <c r="R79" i="28"/>
  <c r="S79" i="28"/>
  <c r="T79" i="28"/>
  <c r="U79" i="28"/>
  <c r="P36" i="28"/>
  <c r="Q36" i="28"/>
  <c r="R36" i="28"/>
  <c r="S36" i="28"/>
  <c r="T36" i="28"/>
  <c r="U36" i="28"/>
  <c r="P46" i="28"/>
  <c r="Q46" i="28"/>
  <c r="R46" i="28"/>
  <c r="S46" i="28"/>
  <c r="T46" i="28"/>
  <c r="U46" i="28"/>
  <c r="P43" i="28"/>
  <c r="Q43" i="28"/>
  <c r="R43" i="28"/>
  <c r="S43" i="28"/>
  <c r="T43" i="28"/>
  <c r="U43" i="28"/>
  <c r="P98" i="28"/>
  <c r="Q98" i="28"/>
  <c r="R98" i="28"/>
  <c r="S98" i="28"/>
  <c r="T98" i="28"/>
  <c r="U98" i="28"/>
  <c r="P100" i="28"/>
  <c r="Q100" i="28"/>
  <c r="R100" i="28"/>
  <c r="S100" i="28"/>
  <c r="T100" i="28"/>
  <c r="U100" i="28"/>
  <c r="P99" i="28"/>
  <c r="Q99" i="28"/>
  <c r="R99" i="28"/>
  <c r="S99" i="28"/>
  <c r="T99" i="28"/>
  <c r="U99" i="28"/>
  <c r="P118" i="28"/>
  <c r="Q118" i="28"/>
  <c r="R118" i="28"/>
  <c r="S118" i="28"/>
  <c r="T118" i="28"/>
  <c r="U118" i="28"/>
  <c r="P107" i="28"/>
  <c r="Q107" i="28"/>
  <c r="R107" i="28"/>
  <c r="S107" i="28"/>
  <c r="T107" i="28"/>
  <c r="U107" i="28"/>
  <c r="P120" i="28"/>
  <c r="Q120" i="28"/>
  <c r="R120" i="28"/>
  <c r="S120" i="28"/>
  <c r="T120" i="28"/>
  <c r="U120" i="28"/>
  <c r="P82" i="28"/>
  <c r="Q82" i="28"/>
  <c r="R82" i="28"/>
  <c r="S82" i="28"/>
  <c r="T82" i="28"/>
  <c r="U82" i="28"/>
  <c r="P116" i="28"/>
  <c r="Q116" i="28"/>
  <c r="R116" i="28"/>
  <c r="S116" i="28"/>
  <c r="T116" i="28"/>
  <c r="U116" i="28"/>
  <c r="P86" i="28"/>
  <c r="Q86" i="28"/>
  <c r="R86" i="28"/>
  <c r="S86" i="28"/>
  <c r="T86" i="28"/>
  <c r="U86" i="28"/>
  <c r="P71" i="28"/>
  <c r="Q71" i="28"/>
  <c r="R71" i="28"/>
  <c r="S71" i="28"/>
  <c r="T71" i="28"/>
  <c r="U71" i="28"/>
  <c r="P102" i="28"/>
  <c r="Q102" i="28"/>
  <c r="R102" i="28"/>
  <c r="S102" i="28"/>
  <c r="T102" i="28"/>
  <c r="U102" i="28"/>
  <c r="P87" i="28"/>
  <c r="Q87" i="28"/>
  <c r="R87" i="28"/>
  <c r="S87" i="28"/>
  <c r="T87" i="28"/>
  <c r="U87" i="28"/>
  <c r="P121" i="28"/>
  <c r="Q121" i="28"/>
  <c r="R121" i="28"/>
  <c r="S121" i="28"/>
  <c r="T121" i="28"/>
  <c r="U121" i="28"/>
  <c r="P124" i="28"/>
  <c r="Q124" i="28"/>
  <c r="R124" i="28"/>
  <c r="S124" i="28"/>
  <c r="T124" i="28"/>
  <c r="U124" i="28"/>
  <c r="P92" i="28"/>
  <c r="Q92" i="28"/>
  <c r="R92" i="28"/>
  <c r="S92" i="28"/>
  <c r="T92" i="28"/>
  <c r="U92" i="28"/>
  <c r="P106" i="28"/>
  <c r="Q106" i="28"/>
  <c r="R106" i="28"/>
  <c r="S106" i="28"/>
  <c r="T106" i="28"/>
  <c r="U106" i="28"/>
  <c r="P117" i="28"/>
  <c r="Q117" i="28"/>
  <c r="R117" i="28"/>
  <c r="S117" i="28"/>
  <c r="T117" i="28"/>
  <c r="U117" i="28"/>
  <c r="P83" i="28"/>
  <c r="Q83" i="28"/>
  <c r="R83" i="28"/>
  <c r="S83" i="28"/>
  <c r="T83" i="28"/>
  <c r="U83" i="28"/>
  <c r="P130" i="28"/>
  <c r="Q130" i="28"/>
  <c r="R130" i="28"/>
  <c r="S130" i="28"/>
  <c r="T130" i="28"/>
  <c r="U130" i="28"/>
  <c r="P129" i="28"/>
  <c r="Q129" i="28"/>
  <c r="R129" i="28"/>
  <c r="S129" i="28"/>
  <c r="T129" i="28"/>
  <c r="U129" i="28"/>
  <c r="P123" i="28"/>
  <c r="Q123" i="28"/>
  <c r="R123" i="28"/>
  <c r="S123" i="28"/>
  <c r="T123" i="28"/>
  <c r="U123" i="28"/>
  <c r="P31" i="28"/>
  <c r="Q31" i="28"/>
  <c r="R31" i="28"/>
  <c r="S31" i="28"/>
  <c r="T31" i="28"/>
  <c r="U31" i="28"/>
  <c r="P33" i="28"/>
  <c r="Q33" i="28"/>
  <c r="R33" i="28"/>
  <c r="S33" i="28"/>
  <c r="T33" i="28"/>
  <c r="U33" i="28"/>
  <c r="P34" i="28"/>
  <c r="Q34" i="28"/>
  <c r="R34" i="28"/>
  <c r="S34" i="28"/>
  <c r="T34" i="28"/>
  <c r="U34" i="28"/>
  <c r="P38" i="28"/>
  <c r="Q38" i="28"/>
  <c r="R38" i="28"/>
  <c r="S38" i="28"/>
  <c r="T38" i="28"/>
  <c r="U38" i="28"/>
  <c r="P45" i="28"/>
  <c r="Q45" i="28"/>
  <c r="R45" i="28"/>
  <c r="S45" i="28"/>
  <c r="T45" i="28"/>
  <c r="U45" i="28"/>
  <c r="P57" i="28"/>
  <c r="Q57" i="28"/>
  <c r="R57" i="28"/>
  <c r="S57" i="28"/>
  <c r="T57" i="28"/>
  <c r="U57" i="28"/>
  <c r="P44" i="28"/>
  <c r="Q44" i="28"/>
  <c r="R44" i="28"/>
  <c r="S44" i="28"/>
  <c r="T44" i="28"/>
  <c r="U44" i="28"/>
  <c r="P29" i="28"/>
  <c r="Q29" i="28"/>
  <c r="R29" i="28"/>
  <c r="S29" i="28"/>
  <c r="T29" i="28"/>
  <c r="U29" i="28"/>
  <c r="P28" i="28"/>
  <c r="Q28" i="28"/>
  <c r="R28" i="28"/>
  <c r="S28" i="28"/>
  <c r="T28" i="28"/>
  <c r="U28" i="28"/>
  <c r="P16" i="28"/>
  <c r="Q16" i="28"/>
  <c r="R16" i="28"/>
  <c r="S16" i="28"/>
  <c r="T16" i="28"/>
  <c r="U16" i="28"/>
  <c r="P24" i="28"/>
  <c r="Q24" i="28"/>
  <c r="R24" i="28"/>
  <c r="S24" i="28"/>
  <c r="T24" i="28"/>
  <c r="U24" i="28"/>
  <c r="P19" i="28"/>
  <c r="Q19" i="28"/>
  <c r="R19" i="28"/>
  <c r="S19" i="28"/>
  <c r="T19" i="28"/>
  <c r="U19" i="28"/>
  <c r="P35" i="28"/>
  <c r="Q35" i="28"/>
  <c r="R35" i="28"/>
  <c r="S35" i="28"/>
  <c r="T35" i="28"/>
  <c r="U35" i="28"/>
  <c r="P25" i="28"/>
  <c r="Q25" i="28"/>
  <c r="R25" i="28"/>
  <c r="S25" i="28"/>
  <c r="T25" i="28"/>
  <c r="U25" i="28"/>
  <c r="P26" i="28"/>
  <c r="Q26" i="28"/>
  <c r="R26" i="28"/>
  <c r="S26" i="28"/>
  <c r="T26" i="28"/>
  <c r="U26" i="28"/>
  <c r="P13" i="28"/>
  <c r="Q13" i="28"/>
  <c r="R13" i="28"/>
  <c r="S13" i="28"/>
  <c r="T13" i="28"/>
  <c r="U13" i="28"/>
  <c r="P20" i="28"/>
  <c r="Q20" i="28"/>
  <c r="R20" i="28"/>
  <c r="S20" i="28"/>
  <c r="T20" i="28"/>
  <c r="U20" i="28"/>
  <c r="P14" i="28"/>
  <c r="Q14" i="28"/>
  <c r="R14" i="28"/>
  <c r="S14" i="28"/>
  <c r="T14" i="28"/>
  <c r="U14" i="28"/>
  <c r="P17" i="28"/>
  <c r="Q17" i="28"/>
  <c r="R17" i="28"/>
  <c r="S17" i="28"/>
  <c r="T17" i="28"/>
  <c r="U17" i="28"/>
  <c r="P15" i="28"/>
  <c r="Q15" i="28"/>
  <c r="R15" i="28"/>
  <c r="S15" i="28"/>
  <c r="T15" i="28"/>
  <c r="U15" i="28"/>
  <c r="P9" i="28"/>
  <c r="Q9" i="28"/>
  <c r="R9" i="28"/>
  <c r="S9" i="28"/>
  <c r="T9" i="28"/>
  <c r="U9" i="28"/>
  <c r="P6" i="28"/>
  <c r="Q6" i="28"/>
  <c r="R6" i="28"/>
  <c r="S6" i="28"/>
  <c r="T6" i="28"/>
  <c r="U6" i="28"/>
  <c r="P5" i="28"/>
  <c r="Q5" i="28"/>
  <c r="R5" i="28"/>
  <c r="S5" i="28"/>
  <c r="T5" i="28"/>
  <c r="U5" i="28"/>
  <c r="P11" i="28"/>
  <c r="Q11" i="28"/>
  <c r="R11" i="28"/>
  <c r="S11" i="28"/>
  <c r="T11" i="28"/>
  <c r="U11" i="28"/>
  <c r="P10" i="28"/>
  <c r="Q10" i="28"/>
  <c r="R10" i="28"/>
  <c r="S10" i="28"/>
  <c r="T10" i="28"/>
  <c r="U10" i="28"/>
  <c r="P7" i="28"/>
  <c r="Q7" i="28"/>
  <c r="R7" i="28"/>
  <c r="S7" i="28"/>
  <c r="T7" i="28"/>
  <c r="U7" i="28"/>
  <c r="P8" i="28"/>
  <c r="Q8" i="28"/>
  <c r="R8" i="28"/>
  <c r="S8" i="28"/>
  <c r="T8" i="28"/>
  <c r="U8" i="28"/>
  <c r="P47" i="28"/>
  <c r="Q47" i="28"/>
  <c r="R47" i="28"/>
  <c r="S47" i="28"/>
  <c r="T47" i="28"/>
  <c r="U47" i="28"/>
  <c r="P73" i="28"/>
  <c r="Q73" i="28"/>
  <c r="R73" i="28"/>
  <c r="S73" i="28"/>
  <c r="T73" i="28"/>
  <c r="U73" i="28"/>
  <c r="P62" i="28"/>
  <c r="Q62" i="28"/>
  <c r="R62" i="28"/>
  <c r="S62" i="28"/>
  <c r="T62" i="28"/>
  <c r="U62" i="28"/>
  <c r="P56" i="28"/>
  <c r="Q56" i="28"/>
  <c r="R56" i="28"/>
  <c r="S56" i="28"/>
  <c r="T56" i="28"/>
  <c r="U56" i="28"/>
  <c r="P37" i="28"/>
  <c r="Q37" i="28"/>
  <c r="R37" i="28"/>
  <c r="S37" i="28"/>
  <c r="T37" i="28"/>
  <c r="U37" i="28"/>
  <c r="P55" i="28"/>
  <c r="Q55" i="28"/>
  <c r="R55" i="28"/>
  <c r="S55" i="28"/>
  <c r="T55" i="28"/>
  <c r="U55" i="28"/>
  <c r="P50" i="28"/>
  <c r="Q50" i="28"/>
  <c r="R50" i="28"/>
  <c r="S50" i="28"/>
  <c r="T50" i="28"/>
  <c r="U50" i="28"/>
  <c r="P52" i="28"/>
  <c r="Q52" i="28"/>
  <c r="R52" i="28"/>
  <c r="S52" i="28"/>
  <c r="T52" i="28"/>
  <c r="U52" i="28"/>
  <c r="P54" i="28"/>
  <c r="Q54" i="28"/>
  <c r="R54" i="28"/>
  <c r="S54" i="28"/>
  <c r="T54" i="28"/>
  <c r="U54" i="28"/>
  <c r="P64" i="28"/>
  <c r="Q64" i="28"/>
  <c r="R64" i="28"/>
  <c r="S64" i="28"/>
  <c r="T64" i="28"/>
  <c r="U64" i="28"/>
  <c r="P68" i="28"/>
  <c r="Q68" i="28"/>
  <c r="R68" i="28"/>
  <c r="S68" i="28"/>
  <c r="T68" i="28"/>
  <c r="U68" i="28"/>
  <c r="P89" i="28"/>
  <c r="Q89" i="28"/>
  <c r="R89" i="28"/>
  <c r="S89" i="28"/>
  <c r="T89" i="28"/>
  <c r="U89" i="28"/>
  <c r="P85" i="28"/>
  <c r="Q85" i="28"/>
  <c r="R85" i="28"/>
  <c r="S85" i="28"/>
  <c r="T85" i="28"/>
  <c r="U85" i="28"/>
  <c r="P109" i="28"/>
  <c r="Q109" i="28"/>
  <c r="R109" i="28"/>
  <c r="S109" i="28"/>
  <c r="T109" i="28"/>
  <c r="U109" i="28"/>
  <c r="P93" i="28"/>
  <c r="Q93" i="28"/>
  <c r="R93" i="28"/>
  <c r="S93" i="28"/>
  <c r="T93" i="28"/>
  <c r="U93" i="28"/>
  <c r="P110" i="28"/>
  <c r="Q110" i="28"/>
  <c r="R110" i="28"/>
  <c r="S110" i="28"/>
  <c r="T110" i="28"/>
  <c r="U110" i="28"/>
  <c r="P119" i="28"/>
  <c r="Q119" i="28"/>
  <c r="R119" i="28"/>
  <c r="S119" i="28"/>
  <c r="T119" i="28"/>
  <c r="U119" i="28"/>
  <c r="P81" i="28"/>
  <c r="Q81" i="28"/>
  <c r="R81" i="28"/>
  <c r="S81" i="28"/>
  <c r="T81" i="28"/>
  <c r="U81" i="28"/>
  <c r="P59" i="28"/>
  <c r="Q59" i="28"/>
  <c r="R59" i="28"/>
  <c r="S59" i="28"/>
  <c r="T59" i="28"/>
  <c r="U59" i="28"/>
  <c r="P74" i="28"/>
  <c r="Q74" i="28"/>
  <c r="R74" i="28"/>
  <c r="S74" i="28"/>
  <c r="T74" i="28"/>
  <c r="U74" i="28"/>
  <c r="P104" i="28"/>
  <c r="Q104" i="28"/>
  <c r="R104" i="28"/>
  <c r="S104" i="28"/>
  <c r="T104" i="28"/>
  <c r="U104" i="28"/>
  <c r="P12" i="28"/>
  <c r="Q12" i="28"/>
  <c r="R12" i="28"/>
  <c r="S12" i="28"/>
  <c r="T12" i="28"/>
  <c r="U12" i="28"/>
  <c r="P4" i="28"/>
  <c r="Q4" i="28"/>
  <c r="R4" i="28"/>
  <c r="S4" i="28"/>
  <c r="T4" i="28"/>
  <c r="U4" i="28"/>
  <c r="P32" i="28"/>
  <c r="Q32" i="28"/>
  <c r="R32" i="28"/>
  <c r="S32" i="28"/>
  <c r="T32" i="28"/>
  <c r="U32" i="28"/>
  <c r="P23" i="28"/>
  <c r="Q23" i="28"/>
  <c r="R23" i="28"/>
  <c r="S23" i="28"/>
  <c r="T23" i="28"/>
  <c r="U23" i="28"/>
  <c r="P18" i="28"/>
  <c r="Q18" i="28"/>
  <c r="R18" i="28"/>
  <c r="S18" i="28"/>
  <c r="T18" i="28"/>
  <c r="U18" i="28"/>
  <c r="P21" i="28"/>
  <c r="Q21" i="28"/>
  <c r="R21" i="28"/>
  <c r="S21" i="28"/>
  <c r="T21" i="28"/>
  <c r="U21" i="28"/>
  <c r="P40" i="28"/>
  <c r="Q40" i="28"/>
  <c r="R40" i="28"/>
  <c r="S40" i="28"/>
  <c r="T40" i="28"/>
  <c r="U40" i="28"/>
  <c r="P53" i="28"/>
  <c r="Q53" i="28"/>
  <c r="R53" i="28"/>
  <c r="S53" i="28"/>
  <c r="T53" i="28"/>
  <c r="U53" i="28"/>
  <c r="P27" i="28"/>
  <c r="Q27" i="28"/>
  <c r="R27" i="28"/>
  <c r="S27" i="28"/>
  <c r="T27" i="28"/>
  <c r="U27" i="28"/>
  <c r="P51" i="28"/>
  <c r="Q51" i="28"/>
  <c r="R51" i="28"/>
  <c r="S51" i="28"/>
  <c r="T51" i="28"/>
  <c r="U51" i="28"/>
  <c r="P78" i="28"/>
  <c r="Q78" i="28"/>
  <c r="R78" i="28"/>
  <c r="S78" i="28"/>
  <c r="T78" i="28"/>
  <c r="U78" i="28"/>
  <c r="P60" i="28"/>
  <c r="Q60" i="28"/>
  <c r="R60" i="28"/>
  <c r="S60" i="28"/>
  <c r="T60" i="28"/>
  <c r="U60" i="28"/>
  <c r="P41" i="28"/>
  <c r="Q41" i="28"/>
  <c r="R41" i="28"/>
  <c r="S41" i="28"/>
  <c r="T41" i="28"/>
  <c r="U41" i="28"/>
  <c r="P30" i="28"/>
  <c r="Q30" i="28"/>
  <c r="R30" i="28"/>
  <c r="S30" i="28"/>
  <c r="T30" i="28"/>
  <c r="U30" i="28"/>
  <c r="P22" i="28"/>
  <c r="Q22" i="28"/>
  <c r="R22" i="28"/>
  <c r="S22" i="28"/>
  <c r="T22" i="28"/>
  <c r="U22" i="28"/>
  <c r="P39" i="28"/>
  <c r="Q39" i="28"/>
  <c r="R39" i="28"/>
  <c r="S39" i="28"/>
  <c r="T39" i="28"/>
  <c r="U39" i="28"/>
  <c r="P77" i="28"/>
  <c r="Q77" i="28"/>
  <c r="R77" i="28"/>
  <c r="S77" i="28"/>
  <c r="T77" i="28"/>
  <c r="U77" i="28"/>
  <c r="P63" i="28"/>
  <c r="Q63" i="28"/>
  <c r="R63" i="28"/>
  <c r="S63" i="28"/>
  <c r="T63" i="28"/>
  <c r="U63" i="28"/>
  <c r="P42" i="28"/>
  <c r="Q42" i="28"/>
  <c r="R42" i="28"/>
  <c r="S42" i="28"/>
  <c r="T42" i="28"/>
  <c r="U42" i="28"/>
  <c r="P75" i="28"/>
  <c r="Q75" i="28"/>
  <c r="R75" i="28"/>
  <c r="S75" i="28"/>
  <c r="T75" i="28"/>
  <c r="U75" i="28"/>
  <c r="P114" i="28"/>
  <c r="Q114" i="28"/>
  <c r="R114" i="28"/>
  <c r="S114" i="28"/>
  <c r="T114" i="28"/>
  <c r="U114" i="28"/>
  <c r="P58" i="28"/>
  <c r="Q58" i="28"/>
  <c r="R58" i="28"/>
  <c r="S58" i="28"/>
  <c r="T58" i="28"/>
  <c r="U58" i="28"/>
  <c r="P70" i="28"/>
  <c r="Q70" i="28"/>
  <c r="R70" i="28"/>
  <c r="S70" i="28"/>
  <c r="T70" i="28"/>
  <c r="U70" i="28"/>
  <c r="P94" i="28"/>
  <c r="Q94" i="28"/>
  <c r="R94" i="28"/>
  <c r="S94" i="28"/>
  <c r="T94" i="28"/>
  <c r="U94" i="28"/>
  <c r="P125" i="28"/>
  <c r="Q125" i="28"/>
  <c r="R125" i="28"/>
  <c r="S125" i="28"/>
  <c r="T125" i="28"/>
  <c r="U125" i="28"/>
  <c r="D4" i="20" l="1"/>
  <c r="D5" i="20"/>
  <c r="D6" i="20"/>
  <c r="D7" i="20"/>
  <c r="D8" i="20"/>
  <c r="D9" i="20"/>
  <c r="D10" i="20"/>
  <c r="D11" i="20"/>
  <c r="D12" i="20"/>
  <c r="D13" i="20"/>
  <c r="D14" i="20"/>
  <c r="D15" i="20"/>
  <c r="D16" i="20"/>
  <c r="D17" i="20"/>
  <c r="D18" i="20"/>
  <c r="D19" i="20"/>
  <c r="D20" i="20"/>
  <c r="D21" i="20"/>
  <c r="D22" i="20"/>
  <c r="D23" i="20"/>
  <c r="D24" i="20"/>
  <c r="Y1" i="4" l="1"/>
  <c r="Y6" i="4" s="1"/>
  <c r="B1" i="4" l="1"/>
  <c r="G6" i="12"/>
  <c r="I16" i="12"/>
  <c r="I5" i="12"/>
  <c r="J11" i="12"/>
  <c r="D13" i="12"/>
  <c r="E10" i="12"/>
  <c r="G12" i="12"/>
  <c r="F12" i="12"/>
  <c r="G4" i="12"/>
  <c r="F7" i="12"/>
  <c r="B15" i="12"/>
  <c r="B4" i="12"/>
  <c r="J8" i="12"/>
  <c r="K9" i="12"/>
  <c r="H6" i="12"/>
  <c r="C15" i="12"/>
  <c r="C7" i="12"/>
  <c r="H12" i="12"/>
  <c r="N8" i="12"/>
  <c r="J13" i="12"/>
  <c r="B11" i="12"/>
  <c r="K7" i="12"/>
  <c r="G11" i="12"/>
  <c r="L5" i="12"/>
  <c r="F11" i="12"/>
  <c r="F5" i="12"/>
  <c r="F8" i="12"/>
  <c r="F14" i="12"/>
  <c r="F6" i="12"/>
  <c r="H8" i="12"/>
  <c r="E11" i="12"/>
  <c r="K14" i="12"/>
  <c r="I12" i="12"/>
  <c r="C8" i="12"/>
  <c r="K15" i="12"/>
  <c r="G8" i="12"/>
  <c r="H7" i="12"/>
  <c r="B10" i="12"/>
  <c r="B20" i="12"/>
  <c r="G5" i="12"/>
  <c r="M6" i="12"/>
  <c r="C9" i="12"/>
  <c r="E4" i="12"/>
  <c r="I9" i="12"/>
  <c r="J6" i="12"/>
  <c r="B12" i="12"/>
  <c r="E8" i="12"/>
  <c r="C13" i="12"/>
  <c r="B13" i="12"/>
  <c r="E12" i="12"/>
  <c r="M14" i="12"/>
  <c r="B14" i="12"/>
  <c r="H11" i="12"/>
  <c r="G16" i="12"/>
  <c r="L15" i="12"/>
  <c r="G14" i="12"/>
  <c r="G13" i="12"/>
  <c r="G7" i="12"/>
  <c r="E13" i="12"/>
  <c r="R20" i="12"/>
  <c r="G15" i="12"/>
  <c r="K11" i="12"/>
  <c r="J5" i="12"/>
  <c r="K13" i="12"/>
  <c r="J16" i="12"/>
  <c r="M9" i="12"/>
  <c r="I13" i="12"/>
  <c r="J12" i="12"/>
  <c r="F16" i="12"/>
  <c r="M7" i="12"/>
  <c r="L4" i="12"/>
  <c r="J14" i="12"/>
  <c r="K6" i="12"/>
  <c r="N4" i="12"/>
  <c r="M4" i="12"/>
  <c r="D20" i="12"/>
  <c r="J9" i="12"/>
  <c r="J15" i="12"/>
  <c r="I11" i="12"/>
  <c r="J4" i="12"/>
  <c r="B8" i="12"/>
  <c r="C10" i="12"/>
  <c r="H13" i="12"/>
  <c r="B9" i="12"/>
  <c r="L14" i="12"/>
  <c r="F10" i="12"/>
  <c r="D16" i="12"/>
  <c r="B6" i="12"/>
  <c r="B5" i="12"/>
  <c r="H14" i="12"/>
  <c r="K5" i="12"/>
  <c r="I14" i="12"/>
  <c r="L11" i="12"/>
  <c r="D8" i="12"/>
  <c r="E9" i="12"/>
  <c r="K10" i="12"/>
  <c r="C14" i="12"/>
  <c r="J7" i="12"/>
  <c r="D7" i="12"/>
  <c r="G10" i="12"/>
  <c r="H4" i="12"/>
  <c r="H9" i="12"/>
  <c r="M16" i="12"/>
  <c r="C5" i="12"/>
  <c r="K12" i="12"/>
  <c r="M5" i="12"/>
  <c r="L6" i="12"/>
  <c r="D15" i="12"/>
  <c r="D4" i="12"/>
  <c r="C11" i="12"/>
  <c r="H5" i="12"/>
  <c r="C12" i="12"/>
  <c r="H16" i="12"/>
  <c r="F9" i="12"/>
  <c r="M11" i="12"/>
  <c r="M10" i="12"/>
  <c r="D6" i="12"/>
  <c r="I4" i="12"/>
  <c r="F4" i="12"/>
  <c r="I7" i="12"/>
  <c r="C4" i="12"/>
  <c r="M8" i="12"/>
  <c r="D5" i="12"/>
  <c r="R6" i="12"/>
  <c r="H15" i="12"/>
  <c r="L10" i="12"/>
  <c r="D14" i="12"/>
  <c r="F13" i="12"/>
  <c r="I8" i="12"/>
  <c r="N10" i="12"/>
  <c r="R9" i="12"/>
  <c r="M15" i="12"/>
  <c r="K8" i="12"/>
  <c r="L12" i="12"/>
  <c r="L8" i="12"/>
  <c r="E7" i="12"/>
  <c r="B7" i="12"/>
  <c r="E6" i="12"/>
  <c r="D9" i="12"/>
  <c r="M13" i="12"/>
  <c r="E14" i="12"/>
  <c r="H10" i="12"/>
  <c r="E5" i="12"/>
  <c r="D10" i="12"/>
  <c r="E15" i="12"/>
  <c r="I6" i="12"/>
  <c r="L7" i="12"/>
  <c r="L13" i="12"/>
  <c r="J10" i="12"/>
  <c r="D12" i="12"/>
  <c r="L9" i="12"/>
  <c r="R14" i="12"/>
  <c r="G9" i="12"/>
  <c r="M12" i="12"/>
  <c r="F15" i="12"/>
  <c r="I10" i="12"/>
  <c r="D11" i="12"/>
  <c r="E20" i="12"/>
  <c r="C6" i="12"/>
  <c r="K4" i="12"/>
  <c r="I15" i="12"/>
  <c r="C1" i="4" l="1"/>
  <c r="Y134" i="4"/>
  <c r="X1" i="4"/>
  <c r="W1" i="4"/>
  <c r="W134" i="4" s="1"/>
  <c r="V1" i="4"/>
  <c r="V135" i="4" s="1"/>
  <c r="T1" i="4"/>
  <c r="T133" i="4" s="1"/>
  <c r="S1" i="4"/>
  <c r="S132" i="4" s="1"/>
  <c r="Q1" i="4"/>
  <c r="Q134" i="4" s="1"/>
  <c r="P1" i="4"/>
  <c r="P132" i="4" s="1"/>
  <c r="AD1" i="4"/>
  <c r="AD135" i="4" s="1"/>
  <c r="AC1" i="4"/>
  <c r="AC134" i="4" s="1"/>
  <c r="AB1" i="4"/>
  <c r="AB134" i="4" s="1"/>
  <c r="AA1" i="4"/>
  <c r="AA135" i="4" s="1"/>
  <c r="H20" i="12"/>
  <c r="R16" i="12"/>
  <c r="N14" i="12"/>
  <c r="L20" i="12"/>
  <c r="N16" i="12"/>
  <c r="K16" i="12"/>
  <c r="R5" i="12"/>
  <c r="R15" i="12"/>
  <c r="R13" i="12"/>
  <c r="G20" i="12"/>
  <c r="R11" i="12"/>
  <c r="N6" i="12"/>
  <c r="I20" i="12"/>
  <c r="F20" i="12"/>
  <c r="M20" i="12"/>
  <c r="J20" i="12"/>
  <c r="C16" i="12"/>
  <c r="N5" i="12"/>
  <c r="R10" i="12"/>
  <c r="R8" i="12"/>
  <c r="K20" i="12"/>
  <c r="C20" i="12"/>
  <c r="R4" i="12"/>
  <c r="L16" i="12"/>
  <c r="R7" i="12"/>
  <c r="N11" i="12"/>
  <c r="R12" i="12"/>
  <c r="T130" i="4" l="1"/>
  <c r="P135" i="4"/>
  <c r="AD132" i="4"/>
  <c r="T134" i="4"/>
  <c r="P134" i="4"/>
  <c r="P133" i="4"/>
  <c r="T132" i="4"/>
  <c r="AC133" i="4"/>
  <c r="AD130" i="4"/>
  <c r="AD134" i="4"/>
  <c r="T131" i="4"/>
  <c r="T135" i="4"/>
  <c r="AD129" i="4"/>
  <c r="AD133" i="4"/>
  <c r="AC135" i="4"/>
  <c r="X133" i="4"/>
  <c r="X5" i="4"/>
  <c r="T129" i="4"/>
  <c r="AD131" i="4"/>
  <c r="X135" i="4"/>
  <c r="Y135" i="4"/>
  <c r="Y133" i="4"/>
  <c r="Y132" i="4"/>
  <c r="X134" i="4"/>
  <c r="D1" i="4"/>
  <c r="AC132" i="4"/>
  <c r="AB133" i="4"/>
  <c r="AB132" i="4"/>
  <c r="AB135" i="4"/>
  <c r="AA132" i="4"/>
  <c r="AA134" i="4"/>
  <c r="AA133" i="4"/>
  <c r="X132" i="4"/>
  <c r="W135" i="4"/>
  <c r="W133" i="4"/>
  <c r="W132" i="4"/>
  <c r="V134" i="4"/>
  <c r="V133" i="4"/>
  <c r="V132" i="4"/>
  <c r="S133" i="4"/>
  <c r="S134" i="4"/>
  <c r="S135" i="4"/>
  <c r="Q133" i="4"/>
  <c r="Q132" i="4"/>
  <c r="Q135" i="4"/>
  <c r="Q5" i="4"/>
  <c r="Q12" i="4"/>
  <c r="Q6" i="4"/>
  <c r="Q8" i="4"/>
  <c r="Q11" i="4"/>
  <c r="Q14" i="4"/>
  <c r="Q16" i="4"/>
  <c r="Q18" i="4"/>
  <c r="Q20" i="4"/>
  <c r="Q22" i="4"/>
  <c r="Q24" i="4"/>
  <c r="Q26" i="4"/>
  <c r="Q28" i="4"/>
  <c r="Q30" i="4"/>
  <c r="Q32" i="4"/>
  <c r="Q34" i="4"/>
  <c r="Q36" i="4"/>
  <c r="Q38" i="4"/>
  <c r="Q40" i="4"/>
  <c r="Q42" i="4"/>
  <c r="Q44" i="4"/>
  <c r="Q46" i="4"/>
  <c r="Q48" i="4"/>
  <c r="Q50" i="4"/>
  <c r="Q52" i="4"/>
  <c r="Q54" i="4"/>
  <c r="Q56" i="4"/>
  <c r="Q58" i="4"/>
  <c r="Q60" i="4"/>
  <c r="Q62" i="4"/>
  <c r="Q64" i="4"/>
  <c r="Q66" i="4"/>
  <c r="Q68" i="4"/>
  <c r="Q70" i="4"/>
  <c r="Q72" i="4"/>
  <c r="Q74" i="4"/>
  <c r="Q76" i="4"/>
  <c r="Q78" i="4"/>
  <c r="Q80" i="4"/>
  <c r="Q82" i="4"/>
  <c r="Q84" i="4"/>
  <c r="Q86" i="4"/>
  <c r="Q88" i="4"/>
  <c r="Q90" i="4"/>
  <c r="Q92" i="4"/>
  <c r="Q94" i="4"/>
  <c r="Q96" i="4"/>
  <c r="Q98" i="4"/>
  <c r="Q100" i="4"/>
  <c r="Q102" i="4"/>
  <c r="Q104" i="4"/>
  <c r="Q106" i="4"/>
  <c r="Q108" i="4"/>
  <c r="Q110" i="4"/>
  <c r="Q111" i="4"/>
  <c r="Q112" i="4"/>
  <c r="Q114" i="4"/>
  <c r="Q115" i="4"/>
  <c r="Q116" i="4"/>
  <c r="Q118" i="4"/>
  <c r="Q119" i="4"/>
  <c r="Q120" i="4"/>
  <c r="Q122" i="4"/>
  <c r="Q123" i="4"/>
  <c r="Q124" i="4"/>
  <c r="Q126" i="4"/>
  <c r="Q127" i="4"/>
  <c r="Q128" i="4"/>
  <c r="Q130" i="4"/>
  <c r="Q131" i="4"/>
  <c r="AB84" i="4"/>
  <c r="AD8" i="4"/>
  <c r="AA85" i="4"/>
  <c r="AA87" i="4"/>
  <c r="AB6" i="4"/>
  <c r="AD6" i="4"/>
  <c r="AB7" i="4"/>
  <c r="AD7" i="4"/>
  <c r="AD12" i="4"/>
  <c r="AD13" i="4"/>
  <c r="AD14" i="4"/>
  <c r="AD15" i="4"/>
  <c r="AD16" i="4"/>
  <c r="AD17" i="4"/>
  <c r="AD18" i="4"/>
  <c r="AD19" i="4"/>
  <c r="AD20" i="4"/>
  <c r="AD21" i="4"/>
  <c r="AD22" i="4"/>
  <c r="AD23" i="4"/>
  <c r="AD24" i="4"/>
  <c r="AD25" i="4"/>
  <c r="AD26" i="4"/>
  <c r="AD27" i="4"/>
  <c r="AD28" i="4"/>
  <c r="AD29" i="4"/>
  <c r="AB30" i="4"/>
  <c r="AD30" i="4"/>
  <c r="AB31" i="4"/>
  <c r="AD31" i="4"/>
  <c r="AB32" i="4"/>
  <c r="AD32" i="4"/>
  <c r="AB33" i="4"/>
  <c r="AD33" i="4"/>
  <c r="AB34" i="4"/>
  <c r="AD34" i="4"/>
  <c r="AB35" i="4"/>
  <c r="AD35" i="4"/>
  <c r="AB36" i="4"/>
  <c r="AD36" i="4"/>
  <c r="AB37" i="4"/>
  <c r="AD37" i="4"/>
  <c r="AB38" i="4"/>
  <c r="AD38" i="4"/>
  <c r="AB39" i="4"/>
  <c r="AD39" i="4"/>
  <c r="AB40" i="4"/>
  <c r="AD40" i="4"/>
  <c r="AB41" i="4"/>
  <c r="AD41" i="4"/>
  <c r="AB42" i="4"/>
  <c r="AD42" i="4"/>
  <c r="AB43" i="4"/>
  <c r="AD43" i="4"/>
  <c r="AB44" i="4"/>
  <c r="AD44" i="4"/>
  <c r="AB45" i="4"/>
  <c r="AD45" i="4"/>
  <c r="AB46" i="4"/>
  <c r="AD46" i="4"/>
  <c r="AB47" i="4"/>
  <c r="AD47" i="4"/>
  <c r="AB48" i="4"/>
  <c r="AD48" i="4"/>
  <c r="AB49" i="4"/>
  <c r="AD49" i="4"/>
  <c r="AA50" i="4"/>
  <c r="AB50" i="4"/>
  <c r="AD50" i="4"/>
  <c r="AA51" i="4"/>
  <c r="AB51" i="4"/>
  <c r="AD51" i="4"/>
  <c r="AA52" i="4"/>
  <c r="AB52" i="4"/>
  <c r="AD52" i="4"/>
  <c r="AA53" i="4"/>
  <c r="AB53" i="4"/>
  <c r="AD53" i="4"/>
  <c r="AA54" i="4"/>
  <c r="AB54" i="4"/>
  <c r="AD54" i="4"/>
  <c r="AA55" i="4"/>
  <c r="AB55" i="4"/>
  <c r="AD55" i="4"/>
  <c r="AA56" i="4"/>
  <c r="AB56" i="4"/>
  <c r="AD56" i="4"/>
  <c r="AA57" i="4"/>
  <c r="AB57" i="4"/>
  <c r="AD57" i="4"/>
  <c r="AA58" i="4"/>
  <c r="AB58" i="4"/>
  <c r="AD58" i="4"/>
  <c r="AA59" i="4"/>
  <c r="AB59" i="4"/>
  <c r="AD59" i="4"/>
  <c r="AA60" i="4"/>
  <c r="AB60" i="4"/>
  <c r="AD60" i="4"/>
  <c r="AA61" i="4"/>
  <c r="AB61" i="4"/>
  <c r="AD61" i="4"/>
  <c r="AA62" i="4"/>
  <c r="AB62" i="4"/>
  <c r="AD62" i="4"/>
  <c r="AA63" i="4"/>
  <c r="AB63" i="4"/>
  <c r="AD63" i="4"/>
  <c r="AA64" i="4"/>
  <c r="AB64" i="4"/>
  <c r="AD64" i="4"/>
  <c r="AA65" i="4"/>
  <c r="AB65" i="4"/>
  <c r="AD65" i="4"/>
  <c r="AA66" i="4"/>
  <c r="AB66" i="4"/>
  <c r="AD66" i="4"/>
  <c r="AA67" i="4"/>
  <c r="AB67" i="4"/>
  <c r="AD67" i="4"/>
  <c r="AA68" i="4"/>
  <c r="AB68" i="4"/>
  <c r="AD68" i="4"/>
  <c r="AA69" i="4"/>
  <c r="AB69" i="4"/>
  <c r="AD69" i="4"/>
  <c r="AA70" i="4"/>
  <c r="AB70" i="4"/>
  <c r="AD70" i="4"/>
  <c r="AA71" i="4"/>
  <c r="AB71" i="4"/>
  <c r="AD71" i="4"/>
  <c r="AA72" i="4"/>
  <c r="AB72" i="4"/>
  <c r="AD72" i="4"/>
  <c r="AA73" i="4"/>
  <c r="AB73" i="4"/>
  <c r="AD73" i="4"/>
  <c r="AA74" i="4"/>
  <c r="AB74" i="4"/>
  <c r="AD74" i="4"/>
  <c r="AA75" i="4"/>
  <c r="AB75" i="4"/>
  <c r="AD75" i="4"/>
  <c r="AA76" i="4"/>
  <c r="AB76" i="4"/>
  <c r="AD76" i="4"/>
  <c r="AA77" i="4"/>
  <c r="AB77" i="4"/>
  <c r="AD77" i="4"/>
  <c r="AA78" i="4"/>
  <c r="AB78" i="4"/>
  <c r="AD78" i="4"/>
  <c r="AA79" i="4"/>
  <c r="AB79" i="4"/>
  <c r="AD79" i="4"/>
  <c r="AA80" i="4"/>
  <c r="AB80" i="4"/>
  <c r="AD80" i="4"/>
  <c r="AA81" i="4"/>
  <c r="AB81" i="4"/>
  <c r="AD81" i="4"/>
  <c r="AA82" i="4"/>
  <c r="AB82" i="4"/>
  <c r="AD82" i="4"/>
  <c r="AA83" i="4"/>
  <c r="AB83" i="4"/>
  <c r="AD83" i="4"/>
  <c r="AA88" i="4"/>
  <c r="AB88" i="4"/>
  <c r="AD88" i="4"/>
  <c r="AA89" i="4"/>
  <c r="AB89" i="4"/>
  <c r="AD89" i="4"/>
  <c r="AA90" i="4"/>
  <c r="AB90" i="4"/>
  <c r="AD90" i="4"/>
  <c r="AA91" i="4"/>
  <c r="AB91" i="4"/>
  <c r="AD91" i="4"/>
  <c r="AA92" i="4"/>
  <c r="AB92" i="4"/>
  <c r="AD92" i="4"/>
  <c r="AA93" i="4"/>
  <c r="AB93" i="4"/>
  <c r="AD93" i="4"/>
  <c r="AA94" i="4"/>
  <c r="AB94" i="4"/>
  <c r="AD94" i="4"/>
  <c r="AA95" i="4"/>
  <c r="AB95" i="4"/>
  <c r="AD95" i="4"/>
  <c r="AD96" i="4"/>
  <c r="AB97" i="4"/>
  <c r="AA98" i="4"/>
  <c r="AB98" i="4"/>
  <c r="AD98" i="4"/>
  <c r="AA99" i="4"/>
  <c r="AD99" i="4"/>
  <c r="AA100" i="4"/>
  <c r="AB100" i="4"/>
  <c r="AD100" i="4"/>
  <c r="AA101" i="4"/>
  <c r="AB101" i="4"/>
  <c r="AD101" i="4"/>
  <c r="AA102" i="4"/>
  <c r="AB102" i="4"/>
  <c r="AD102" i="4"/>
  <c r="AA103" i="4"/>
  <c r="AB103" i="4"/>
  <c r="AD103" i="4"/>
  <c r="AA104" i="4"/>
  <c r="AB104" i="4"/>
  <c r="AD104" i="4"/>
  <c r="AA105" i="4"/>
  <c r="AB105" i="4"/>
  <c r="AD105" i="4"/>
  <c r="AA106" i="4"/>
  <c r="AB106" i="4"/>
  <c r="AD106" i="4"/>
  <c r="AA107" i="4"/>
  <c r="AB107" i="4"/>
  <c r="AD107" i="4"/>
  <c r="AA108" i="4"/>
  <c r="AB108" i="4"/>
  <c r="AD108" i="4"/>
  <c r="AA109" i="4"/>
  <c r="AB109" i="4"/>
  <c r="AD109" i="4"/>
  <c r="AA110" i="4"/>
  <c r="AB110" i="4"/>
  <c r="AD110" i="4"/>
  <c r="AA111" i="4"/>
  <c r="AB111" i="4"/>
  <c r="AD111" i="4"/>
  <c r="AA112" i="4"/>
  <c r="AB112" i="4"/>
  <c r="AD112" i="4"/>
  <c r="AA113" i="4"/>
  <c r="AB113" i="4"/>
  <c r="AD113" i="4"/>
  <c r="AA114" i="4"/>
  <c r="AB114" i="4"/>
  <c r="AD114" i="4"/>
  <c r="AA115" i="4"/>
  <c r="AB115" i="4"/>
  <c r="AD115" i="4"/>
  <c r="AA116" i="4"/>
  <c r="AB116" i="4"/>
  <c r="AD116" i="4"/>
  <c r="AA117" i="4"/>
  <c r="AB117" i="4"/>
  <c r="AD117" i="4"/>
  <c r="AA118" i="4"/>
  <c r="AB118" i="4"/>
  <c r="AD118" i="4"/>
  <c r="AA119" i="4"/>
  <c r="AB119" i="4"/>
  <c r="AD119" i="4"/>
  <c r="AA120" i="4"/>
  <c r="AB120" i="4"/>
  <c r="AD120" i="4"/>
  <c r="AA121" i="4"/>
  <c r="AB121" i="4"/>
  <c r="AD121" i="4"/>
  <c r="AA122" i="4"/>
  <c r="AB122" i="4"/>
  <c r="AD122" i="4"/>
  <c r="AA123" i="4"/>
  <c r="AB123" i="4"/>
  <c r="AD123" i="4"/>
  <c r="AA124" i="4"/>
  <c r="AB124" i="4"/>
  <c r="AD124" i="4"/>
  <c r="AA125" i="4"/>
  <c r="AB125" i="4"/>
  <c r="AD125" i="4"/>
  <c r="AA126" i="4"/>
  <c r="AB126" i="4"/>
  <c r="AD126" i="4"/>
  <c r="AA127" i="4"/>
  <c r="AB127" i="4"/>
  <c r="AD127" i="4"/>
  <c r="AA128" i="4"/>
  <c r="AB128" i="4"/>
  <c r="AD128" i="4"/>
  <c r="AA129" i="4"/>
  <c r="AB129" i="4"/>
  <c r="AA130" i="4"/>
  <c r="AB130" i="4"/>
  <c r="AA131" i="4"/>
  <c r="AB131" i="4"/>
  <c r="A115" i="10"/>
  <c r="A121" i="10" s="1"/>
  <c r="D49" i="12"/>
  <c r="D48" i="12"/>
  <c r="D47" i="12"/>
  <c r="D28" i="12"/>
  <c r="D27" i="12"/>
  <c r="D25" i="12"/>
  <c r="D23" i="12"/>
  <c r="B32" i="12"/>
  <c r="B31" i="12"/>
  <c r="B30" i="12"/>
  <c r="B29" i="12"/>
  <c r="B28" i="12"/>
  <c r="V5" i="4"/>
  <c r="Y9" i="4"/>
  <c r="Y7" i="4"/>
  <c r="Y11" i="4"/>
  <c r="Y13" i="4"/>
  <c r="Y15" i="4"/>
  <c r="Y19" i="4"/>
  <c r="Y21" i="4"/>
  <c r="Y23" i="4"/>
  <c r="Y27" i="4"/>
  <c r="Y29" i="4"/>
  <c r="Y31" i="4"/>
  <c r="Y35" i="4"/>
  <c r="Y37" i="4"/>
  <c r="Y39" i="4"/>
  <c r="Y43" i="4"/>
  <c r="Y45" i="4"/>
  <c r="Y47" i="4"/>
  <c r="Y51" i="4"/>
  <c r="Y53" i="4"/>
  <c r="Y55" i="4"/>
  <c r="Y59" i="4"/>
  <c r="Y61" i="4"/>
  <c r="Y63" i="4"/>
  <c r="Y67" i="4"/>
  <c r="Y69" i="4"/>
  <c r="Y71" i="4"/>
  <c r="Y75" i="4"/>
  <c r="Y77" i="4"/>
  <c r="Y79" i="4"/>
  <c r="Y83" i="4"/>
  <c r="Y85" i="4"/>
  <c r="Y87" i="4"/>
  <c r="Y91" i="4"/>
  <c r="Y93" i="4"/>
  <c r="Y95" i="4"/>
  <c r="Y99" i="4"/>
  <c r="Y101" i="4"/>
  <c r="Y103" i="4"/>
  <c r="Y107" i="4"/>
  <c r="Y109" i="4"/>
  <c r="Y111" i="4"/>
  <c r="Y115" i="4"/>
  <c r="Y117" i="4"/>
  <c r="Y119" i="4"/>
  <c r="Y123" i="4"/>
  <c r="Y125" i="4"/>
  <c r="Y127" i="4"/>
  <c r="Y131" i="4"/>
  <c r="X6" i="4"/>
  <c r="W5" i="4"/>
  <c r="S5" i="4"/>
  <c r="P33" i="4"/>
  <c r="S12" i="4"/>
  <c r="P25" i="4"/>
  <c r="P56" i="4"/>
  <c r="P77" i="4"/>
  <c r="P99" i="4"/>
  <c r="P120" i="4"/>
  <c r="V6" i="4"/>
  <c r="T8" i="4"/>
  <c r="T11" i="4"/>
  <c r="T13" i="4"/>
  <c r="T16" i="4"/>
  <c r="T19" i="4"/>
  <c r="T21" i="4"/>
  <c r="T24" i="4"/>
  <c r="T27" i="4"/>
  <c r="T29" i="4"/>
  <c r="T32" i="4"/>
  <c r="T35" i="4"/>
  <c r="T37" i="4"/>
  <c r="T40" i="4"/>
  <c r="T43" i="4"/>
  <c r="T45" i="4"/>
  <c r="T48" i="4"/>
  <c r="T51" i="4"/>
  <c r="T53" i="4"/>
  <c r="T56" i="4"/>
  <c r="T59" i="4"/>
  <c r="T61" i="4"/>
  <c r="T64" i="4"/>
  <c r="T67" i="4"/>
  <c r="T69" i="4"/>
  <c r="T72" i="4"/>
  <c r="T75" i="4"/>
  <c r="T77" i="4"/>
  <c r="T80" i="4"/>
  <c r="T83" i="4"/>
  <c r="T85" i="4"/>
  <c r="T88" i="4"/>
  <c r="T91" i="4"/>
  <c r="T93" i="4"/>
  <c r="T96" i="4"/>
  <c r="T99" i="4"/>
  <c r="T101" i="4"/>
  <c r="T104" i="4"/>
  <c r="T107" i="4"/>
  <c r="T109" i="4"/>
  <c r="T112" i="4"/>
  <c r="T115" i="4"/>
  <c r="T117" i="4"/>
  <c r="T120" i="4"/>
  <c r="T123" i="4"/>
  <c r="T125" i="4"/>
  <c r="T128" i="4"/>
  <c r="S8" i="4"/>
  <c r="S7" i="4"/>
  <c r="S6" i="4"/>
  <c r="S9" i="4"/>
  <c r="V9" i="4"/>
  <c r="W9" i="4"/>
  <c r="X9" i="4"/>
  <c r="X23" i="1"/>
  <c r="W24" i="1" s="1"/>
  <c r="Y23" i="1"/>
  <c r="W25" i="1" s="1"/>
  <c r="Z23" i="1"/>
  <c r="AB23" i="1" s="1"/>
  <c r="AA23" i="1"/>
  <c r="W27" i="1" s="1"/>
  <c r="Y24" i="1"/>
  <c r="X25" i="1" s="1"/>
  <c r="Z24" i="1"/>
  <c r="X26" i="1" s="1"/>
  <c r="AA24" i="1"/>
  <c r="X27" i="1" s="1"/>
  <c r="Z25" i="1"/>
  <c r="Y26" i="1" s="1"/>
  <c r="AA25" i="1"/>
  <c r="Y27" i="1" s="1"/>
  <c r="AA26" i="1"/>
  <c r="Z27" i="1"/>
  <c r="X37" i="1"/>
  <c r="Y37" i="1"/>
  <c r="Y38" i="1"/>
  <c r="X39" i="1" s="1"/>
  <c r="X40" i="1" s="1"/>
  <c r="W39" i="1"/>
  <c r="Z39" i="1" s="1"/>
  <c r="X47" i="1"/>
  <c r="Z47" i="1" s="1"/>
  <c r="Y47" i="1"/>
  <c r="Y48" i="1"/>
  <c r="X49" i="1" s="1"/>
  <c r="W49" i="1"/>
  <c r="W6" i="4"/>
  <c r="X56" i="1"/>
  <c r="AA56" i="1" s="1"/>
  <c r="Y56" i="1"/>
  <c r="Y60" i="1" s="1"/>
  <c r="Z56" i="1"/>
  <c r="Y57" i="1"/>
  <c r="X58" i="1" s="1"/>
  <c r="X60" i="1" s="1"/>
  <c r="Z57" i="1"/>
  <c r="X59" i="1" s="1"/>
  <c r="Z58" i="1"/>
  <c r="W59" i="1"/>
  <c r="AA59" i="1" s="1"/>
  <c r="Y59" i="1"/>
  <c r="S10" i="4"/>
  <c r="V10" i="4"/>
  <c r="W10" i="4"/>
  <c r="S85" i="4"/>
  <c r="V85" i="4"/>
  <c r="W85" i="4"/>
  <c r="S84" i="4"/>
  <c r="V84" i="4"/>
  <c r="W84" i="4"/>
  <c r="X84" i="4"/>
  <c r="S112" i="4"/>
  <c r="W112" i="4"/>
  <c r="X112" i="4"/>
  <c r="S89" i="4"/>
  <c r="V89" i="4"/>
  <c r="W89" i="4"/>
  <c r="X89" i="4"/>
  <c r="S88" i="4"/>
  <c r="V88" i="4"/>
  <c r="W88" i="4"/>
  <c r="S87" i="4"/>
  <c r="V87" i="4"/>
  <c r="W87" i="4"/>
  <c r="S86" i="4"/>
  <c r="W86" i="4"/>
  <c r="X86" i="4"/>
  <c r="S83" i="4"/>
  <c r="V83" i="4"/>
  <c r="W83" i="4"/>
  <c r="X83" i="4"/>
  <c r="S111" i="4"/>
  <c r="V111" i="4"/>
  <c r="W111" i="4"/>
  <c r="S72" i="4"/>
  <c r="V72" i="4"/>
  <c r="W72" i="4"/>
  <c r="X72" i="4"/>
  <c r="S74" i="4"/>
  <c r="W74" i="4"/>
  <c r="S80" i="4"/>
  <c r="V80" i="4"/>
  <c r="W80" i="4"/>
  <c r="X80" i="4"/>
  <c r="S82" i="4"/>
  <c r="V82" i="4"/>
  <c r="W82" i="4"/>
  <c r="S73" i="4"/>
  <c r="V73" i="4"/>
  <c r="W73" i="4"/>
  <c r="X73" i="4"/>
  <c r="S81" i="4"/>
  <c r="W81" i="4"/>
  <c r="X81" i="4"/>
  <c r="S78" i="4"/>
  <c r="V78" i="4"/>
  <c r="W78" i="4"/>
  <c r="S122" i="4"/>
  <c r="V122" i="4"/>
  <c r="W122" i="4"/>
  <c r="S79" i="4"/>
  <c r="V79" i="4"/>
  <c r="W79" i="4"/>
  <c r="X79" i="4"/>
  <c r="S71" i="4"/>
  <c r="W71" i="4"/>
  <c r="X71" i="4"/>
  <c r="S114" i="4"/>
  <c r="V114" i="4"/>
  <c r="W114" i="4"/>
  <c r="X114" i="4"/>
  <c r="S76" i="4"/>
  <c r="V76" i="4"/>
  <c r="W76" i="4"/>
  <c r="S70" i="4"/>
  <c r="V70" i="4"/>
  <c r="W70" i="4"/>
  <c r="S115" i="4"/>
  <c r="W115" i="4"/>
  <c r="X115" i="4"/>
  <c r="S121" i="4"/>
  <c r="V121" i="4"/>
  <c r="W121" i="4"/>
  <c r="X121" i="4"/>
  <c r="S64" i="4"/>
  <c r="V64" i="4"/>
  <c r="W64" i="4"/>
  <c r="S77" i="4"/>
  <c r="V77" i="4"/>
  <c r="W77" i="4"/>
  <c r="X77" i="4"/>
  <c r="S65" i="4"/>
  <c r="W65" i="4"/>
  <c r="S119" i="4"/>
  <c r="V119" i="4"/>
  <c r="W119" i="4"/>
  <c r="X119" i="4"/>
  <c r="S63" i="4"/>
  <c r="V63" i="4"/>
  <c r="W63" i="4"/>
  <c r="S69" i="4"/>
  <c r="V69" i="4"/>
  <c r="W69" i="4"/>
  <c r="X69" i="4"/>
  <c r="S66" i="4"/>
  <c r="W66" i="4"/>
  <c r="X66" i="4"/>
  <c r="S116" i="4"/>
  <c r="V116" i="4"/>
  <c r="W116" i="4"/>
  <c r="S75" i="4"/>
  <c r="V75" i="4"/>
  <c r="W75" i="4"/>
  <c r="S123" i="4"/>
  <c r="V123" i="4"/>
  <c r="W123" i="4"/>
  <c r="X123" i="4"/>
  <c r="S113" i="4"/>
  <c r="W113" i="4"/>
  <c r="X113" i="4"/>
  <c r="S39" i="4"/>
  <c r="V39" i="4"/>
  <c r="W39" i="4"/>
  <c r="X39" i="4"/>
  <c r="S126" i="4"/>
  <c r="V126" i="4"/>
  <c r="W126" i="4"/>
  <c r="S120" i="4"/>
  <c r="V120" i="4"/>
  <c r="W120" i="4"/>
  <c r="S96" i="4"/>
  <c r="W96" i="4"/>
  <c r="X96" i="4"/>
  <c r="S67" i="4"/>
  <c r="V67" i="4"/>
  <c r="W67" i="4"/>
  <c r="X67" i="4"/>
  <c r="S36" i="4"/>
  <c r="V36" i="4"/>
  <c r="W36" i="4"/>
  <c r="S40" i="4"/>
  <c r="V40" i="4"/>
  <c r="W40" i="4"/>
  <c r="X40" i="4"/>
  <c r="S41" i="4"/>
  <c r="W41" i="4"/>
  <c r="S97" i="4"/>
  <c r="V97" i="4"/>
  <c r="W97" i="4"/>
  <c r="X97" i="4"/>
  <c r="S94" i="4"/>
  <c r="V94" i="4"/>
  <c r="W94" i="4"/>
  <c r="S98" i="4"/>
  <c r="V98" i="4"/>
  <c r="W98" i="4"/>
  <c r="X98" i="4"/>
  <c r="S117" i="4"/>
  <c r="W117" i="4"/>
  <c r="X117" i="4"/>
  <c r="S68" i="4"/>
  <c r="V68" i="4"/>
  <c r="W68" i="4"/>
  <c r="S95" i="4"/>
  <c r="V95" i="4"/>
  <c r="W95" i="4"/>
  <c r="S118" i="4"/>
  <c r="V118" i="4"/>
  <c r="W118" i="4"/>
  <c r="X118" i="4"/>
  <c r="S93" i="4"/>
  <c r="W93" i="4"/>
  <c r="X93" i="4"/>
  <c r="S108" i="4"/>
  <c r="V108" i="4"/>
  <c r="W108" i="4"/>
  <c r="X108" i="4"/>
  <c r="S129" i="4"/>
  <c r="V129" i="4"/>
  <c r="W129" i="4"/>
  <c r="S90" i="4"/>
  <c r="V90" i="4"/>
  <c r="W90" i="4"/>
  <c r="S99" i="4"/>
  <c r="W99" i="4"/>
  <c r="X99" i="4"/>
  <c r="S13" i="4"/>
  <c r="V13" i="4"/>
  <c r="W13" i="4"/>
  <c r="X13" i="4"/>
  <c r="W7" i="4"/>
  <c r="X7" i="4"/>
  <c r="S125" i="4"/>
  <c r="V125" i="4"/>
  <c r="W125" i="4"/>
  <c r="X125" i="4"/>
  <c r="S51" i="4"/>
  <c r="W51" i="4"/>
  <c r="X51" i="4"/>
  <c r="S109" i="4"/>
  <c r="V109" i="4"/>
  <c r="W109" i="4"/>
  <c r="S130" i="4"/>
  <c r="V130" i="4"/>
  <c r="W130" i="4"/>
  <c r="S37" i="4"/>
  <c r="V37" i="4"/>
  <c r="W37" i="4"/>
  <c r="X37" i="4"/>
  <c r="S100" i="4"/>
  <c r="W100" i="4"/>
  <c r="X100" i="4"/>
  <c r="S38" i="4"/>
  <c r="V38" i="4"/>
  <c r="W38" i="4"/>
  <c r="X38" i="4"/>
  <c r="S16" i="4"/>
  <c r="V16" i="4"/>
  <c r="W16" i="4"/>
  <c r="S92" i="4"/>
  <c r="V92" i="4"/>
  <c r="W92" i="4"/>
  <c r="X92" i="4"/>
  <c r="V8" i="4"/>
  <c r="W8" i="4"/>
  <c r="X8" i="4"/>
  <c r="S124" i="4"/>
  <c r="W124" i="4"/>
  <c r="X124" i="4"/>
  <c r="S53" i="4"/>
  <c r="V53" i="4"/>
  <c r="W53" i="4"/>
  <c r="X53" i="4"/>
  <c r="S59" i="4"/>
  <c r="V59" i="4"/>
  <c r="W59" i="4"/>
  <c r="S107" i="4"/>
  <c r="V107" i="4"/>
  <c r="W107" i="4"/>
  <c r="X107" i="4"/>
  <c r="S127" i="4"/>
  <c r="W127" i="4"/>
  <c r="X127" i="4"/>
  <c r="S50" i="4"/>
  <c r="V50" i="4"/>
  <c r="W50" i="4"/>
  <c r="X50" i="4"/>
  <c r="S48" i="4"/>
  <c r="V48" i="4"/>
  <c r="W48" i="4"/>
  <c r="S91" i="4"/>
  <c r="V91" i="4"/>
  <c r="W91" i="4"/>
  <c r="X91" i="4"/>
  <c r="S15" i="4"/>
  <c r="W15" i="4"/>
  <c r="X15" i="4"/>
  <c r="S101" i="4"/>
  <c r="V101" i="4"/>
  <c r="W101" i="4"/>
  <c r="X101" i="4"/>
  <c r="S11" i="4"/>
  <c r="V11" i="4"/>
  <c r="W11" i="4"/>
  <c r="S102" i="4"/>
  <c r="V102" i="4"/>
  <c r="W102" i="4"/>
  <c r="X102" i="4"/>
  <c r="V12" i="4"/>
  <c r="W12" i="4"/>
  <c r="X12" i="4"/>
  <c r="S17" i="4"/>
  <c r="W17" i="4"/>
  <c r="X17" i="4"/>
  <c r="S26" i="4"/>
  <c r="V26" i="4"/>
  <c r="W26" i="4"/>
  <c r="X26" i="4"/>
  <c r="S104" i="4"/>
  <c r="V104" i="4"/>
  <c r="W104" i="4"/>
  <c r="S31" i="4"/>
  <c r="V31" i="4"/>
  <c r="W31" i="4"/>
  <c r="X31" i="4"/>
  <c r="S103" i="4"/>
  <c r="W103" i="4"/>
  <c r="X103" i="4"/>
  <c r="S32" i="4"/>
  <c r="V32" i="4"/>
  <c r="W32" i="4"/>
  <c r="X32" i="4"/>
  <c r="S56" i="4"/>
  <c r="V56" i="4"/>
  <c r="W56" i="4"/>
  <c r="S27" i="4"/>
  <c r="V27" i="4"/>
  <c r="W27" i="4"/>
  <c r="X27" i="4"/>
  <c r="S42" i="4"/>
  <c r="W42" i="4"/>
  <c r="X42" i="4"/>
  <c r="S44" i="4"/>
  <c r="V44" i="4"/>
  <c r="W44" i="4"/>
  <c r="X44" i="4"/>
  <c r="S131" i="4"/>
  <c r="V131" i="4"/>
  <c r="W131" i="4"/>
  <c r="S43" i="4"/>
  <c r="V43" i="4"/>
  <c r="W43" i="4"/>
  <c r="X43" i="4"/>
  <c r="S19" i="4"/>
  <c r="W19" i="4"/>
  <c r="X19" i="4"/>
  <c r="S52" i="4"/>
  <c r="V52" i="4"/>
  <c r="W52" i="4"/>
  <c r="X52" i="4"/>
  <c r="S110" i="4"/>
  <c r="V110" i="4"/>
  <c r="W110" i="4"/>
  <c r="X110" i="4"/>
  <c r="S18" i="4"/>
  <c r="V18" i="4"/>
  <c r="W18" i="4"/>
  <c r="X18" i="4"/>
  <c r="S57" i="4"/>
  <c r="V57" i="4"/>
  <c r="W57" i="4"/>
  <c r="X57" i="4"/>
  <c r="S14" i="4"/>
  <c r="V14" i="4"/>
  <c r="W14" i="4"/>
  <c r="X14" i="4"/>
  <c r="S28" i="4"/>
  <c r="V28" i="4"/>
  <c r="W28" i="4"/>
  <c r="X28" i="4"/>
  <c r="S46" i="4"/>
  <c r="V46" i="4"/>
  <c r="W46" i="4"/>
  <c r="X46" i="4"/>
  <c r="S25" i="4"/>
  <c r="V25" i="4"/>
  <c r="W25" i="4"/>
  <c r="X25" i="4"/>
  <c r="S21" i="4"/>
  <c r="V21" i="4"/>
  <c r="W21" i="4"/>
  <c r="X21" i="4"/>
  <c r="S49" i="4"/>
  <c r="V49" i="4"/>
  <c r="W49" i="4"/>
  <c r="X49" i="4"/>
  <c r="S54" i="4"/>
  <c r="V54" i="4"/>
  <c r="W54" i="4"/>
  <c r="X54" i="4"/>
  <c r="S128" i="4"/>
  <c r="V128" i="4"/>
  <c r="W128" i="4"/>
  <c r="X128" i="4"/>
  <c r="S35" i="4"/>
  <c r="V35" i="4"/>
  <c r="W35" i="4"/>
  <c r="X35" i="4"/>
  <c r="S58" i="4"/>
  <c r="V58" i="4"/>
  <c r="W58" i="4"/>
  <c r="X58" i="4"/>
  <c r="S45" i="4"/>
  <c r="V45" i="4"/>
  <c r="W45" i="4"/>
  <c r="X45" i="4"/>
  <c r="S55" i="4"/>
  <c r="V55" i="4"/>
  <c r="W55" i="4"/>
  <c r="X55" i="4"/>
  <c r="S105" i="4"/>
  <c r="V105" i="4"/>
  <c r="W105" i="4"/>
  <c r="X105" i="4"/>
  <c r="S106" i="4"/>
  <c r="V106" i="4"/>
  <c r="W106" i="4"/>
  <c r="X106" i="4"/>
  <c r="S33" i="4"/>
  <c r="V33" i="4"/>
  <c r="W33" i="4"/>
  <c r="X33" i="4"/>
  <c r="S29" i="4"/>
  <c r="V29" i="4"/>
  <c r="W29" i="4"/>
  <c r="X29" i="4"/>
  <c r="S47" i="4"/>
  <c r="V47" i="4"/>
  <c r="W47" i="4"/>
  <c r="X47" i="4"/>
  <c r="S62" i="4"/>
  <c r="V62" i="4"/>
  <c r="W62" i="4"/>
  <c r="X62" i="4"/>
  <c r="S20" i="4"/>
  <c r="V20" i="4"/>
  <c r="W20" i="4"/>
  <c r="X20" i="4"/>
  <c r="S22" i="4"/>
  <c r="V22" i="4"/>
  <c r="W22" i="4"/>
  <c r="X22" i="4"/>
  <c r="S23" i="4"/>
  <c r="V23" i="4"/>
  <c r="W23" i="4"/>
  <c r="X23" i="4"/>
  <c r="S24" i="4"/>
  <c r="V24" i="4"/>
  <c r="W24" i="4"/>
  <c r="X24" i="4"/>
  <c r="S34" i="4"/>
  <c r="V34" i="4"/>
  <c r="W34" i="4"/>
  <c r="X34" i="4"/>
  <c r="S60" i="4"/>
  <c r="V60" i="4"/>
  <c r="W60" i="4"/>
  <c r="X60" i="4"/>
  <c r="S30" i="4"/>
  <c r="V30" i="4"/>
  <c r="W30" i="4"/>
  <c r="X30" i="4"/>
  <c r="S61" i="4"/>
  <c r="V61" i="4"/>
  <c r="W61" i="4"/>
  <c r="X61" i="4"/>
  <c r="AI119" i="10"/>
  <c r="BB135" i="10"/>
  <c r="AI117" i="10"/>
  <c r="BB134" i="10"/>
  <c r="AI123" i="10"/>
  <c r="BB133" i="10" s="1"/>
  <c r="AI118" i="10"/>
  <c r="BB132" i="10"/>
  <c r="AI121" i="10"/>
  <c r="BB131" i="10"/>
  <c r="AI122" i="10"/>
  <c r="BB130" i="10"/>
  <c r="AI135" i="10"/>
  <c r="BB129" i="10" s="1"/>
  <c r="AI130" i="10"/>
  <c r="BB128" i="10"/>
  <c r="AI116" i="10"/>
  <c r="BB127" i="10"/>
  <c r="AI129" i="10"/>
  <c r="BB126" i="10"/>
  <c r="AI128" i="10"/>
  <c r="BB125" i="10" s="1"/>
  <c r="AI115" i="10"/>
  <c r="BB124" i="10"/>
  <c r="AI120" i="10"/>
  <c r="BB123" i="10"/>
  <c r="AI134" i="10"/>
  <c r="BB122" i="10"/>
  <c r="AI133" i="10"/>
  <c r="BB121" i="10" s="1"/>
  <c r="AI132" i="10"/>
  <c r="BB120" i="10"/>
  <c r="AI124" i="10"/>
  <c r="BB119" i="10"/>
  <c r="AI125" i="10"/>
  <c r="BB118" i="10"/>
  <c r="AI126" i="10"/>
  <c r="BB117" i="10" s="1"/>
  <c r="AI131" i="10"/>
  <c r="BB116" i="10"/>
  <c r="AI127" i="10"/>
  <c r="BB115" i="10"/>
  <c r="AJ119" i="10"/>
  <c r="AY135" i="10"/>
  <c r="BC135" i="10" s="1"/>
  <c r="AJ117" i="10"/>
  <c r="AY134" i="10"/>
  <c r="BC134" i="10" s="1"/>
  <c r="AJ123" i="10"/>
  <c r="AJ118" i="10"/>
  <c r="AY132" i="10"/>
  <c r="BC132" i="10"/>
  <c r="AJ121" i="10"/>
  <c r="AY131" i="10"/>
  <c r="BC131" i="10" s="1"/>
  <c r="AJ122" i="10"/>
  <c r="AY130" i="10"/>
  <c r="BC130" i="10" s="1"/>
  <c r="AJ135" i="10"/>
  <c r="AJ130" i="10"/>
  <c r="AY128" i="10"/>
  <c r="BC128" i="10" s="1"/>
  <c r="AJ116" i="10"/>
  <c r="AY127" i="10"/>
  <c r="BC127" i="10" s="1"/>
  <c r="AJ129" i="10"/>
  <c r="AY126" i="10"/>
  <c r="BC126" i="10"/>
  <c r="AJ128" i="10"/>
  <c r="AJ115" i="10"/>
  <c r="AY124" i="10"/>
  <c r="BC124" i="10" s="1"/>
  <c r="AJ120" i="10"/>
  <c r="AY123" i="10"/>
  <c r="BC123" i="10"/>
  <c r="AJ134" i="10"/>
  <c r="AY122" i="10"/>
  <c r="BC122" i="10" s="1"/>
  <c r="AJ133" i="10"/>
  <c r="AJ132" i="10"/>
  <c r="AY120" i="10"/>
  <c r="BC120" i="10"/>
  <c r="AJ124" i="10"/>
  <c r="AY119" i="10"/>
  <c r="BC119" i="10" s="1"/>
  <c r="AJ125" i="10"/>
  <c r="AY118" i="10"/>
  <c r="BC118" i="10"/>
  <c r="AJ126" i="10"/>
  <c r="AY117" i="10"/>
  <c r="BC117" i="10" s="1"/>
  <c r="AJ131" i="10"/>
  <c r="AY116" i="10"/>
  <c r="BC116" i="10" s="1"/>
  <c r="AJ127" i="10"/>
  <c r="AY115" i="10"/>
  <c r="BC115" i="10"/>
  <c r="BA135" i="10"/>
  <c r="BA134" i="10"/>
  <c r="BA133" i="10"/>
  <c r="BA132" i="10"/>
  <c r="BA131" i="10"/>
  <c r="BA130" i="10"/>
  <c r="BA129" i="10"/>
  <c r="BA128" i="10"/>
  <c r="BA127" i="10"/>
  <c r="BA126" i="10"/>
  <c r="BA125" i="10"/>
  <c r="BA124" i="10"/>
  <c r="BA123" i="10"/>
  <c r="BA122" i="10"/>
  <c r="BA121" i="10"/>
  <c r="BA120" i="10"/>
  <c r="BA119" i="10"/>
  <c r="BA118" i="10"/>
  <c r="BA117" i="10"/>
  <c r="BA116" i="10"/>
  <c r="BA115" i="10"/>
  <c r="AQ119" i="10"/>
  <c r="AZ135" i="10" s="1"/>
  <c r="AQ117" i="10"/>
  <c r="AQ123" i="10"/>
  <c r="AZ133" i="10" s="1"/>
  <c r="AQ118" i="10"/>
  <c r="AZ132" i="10" s="1"/>
  <c r="AQ121" i="10"/>
  <c r="AQ122" i="10"/>
  <c r="AQ135" i="10"/>
  <c r="AZ129" i="10" s="1"/>
  <c r="AQ130" i="10"/>
  <c r="AZ128" i="10" s="1"/>
  <c r="AQ116" i="10"/>
  <c r="AZ127" i="10" s="1"/>
  <c r="AQ129" i="10"/>
  <c r="AZ126" i="10" s="1"/>
  <c r="AQ128" i="10"/>
  <c r="AZ125" i="10" s="1"/>
  <c r="AQ115" i="10"/>
  <c r="AZ124" i="10" s="1"/>
  <c r="AQ120" i="10"/>
  <c r="AZ123" i="10" s="1"/>
  <c r="AQ134" i="10"/>
  <c r="AZ122" i="10" s="1"/>
  <c r="AQ133" i="10"/>
  <c r="AZ121" i="10" s="1"/>
  <c r="AQ132" i="10"/>
  <c r="AZ120" i="10" s="1"/>
  <c r="AQ124" i="10"/>
  <c r="AZ119" i="10" s="1"/>
  <c r="AQ125" i="10"/>
  <c r="AQ126" i="10"/>
  <c r="AZ117" i="10" s="1"/>
  <c r="AQ131" i="10"/>
  <c r="AZ116" i="10" s="1"/>
  <c r="AQ127" i="10"/>
  <c r="AL127" i="10"/>
  <c r="AL135" i="10"/>
  <c r="AL125" i="10"/>
  <c r="AL115" i="10"/>
  <c r="AL131" i="10"/>
  <c r="AL134" i="10"/>
  <c r="AL130" i="10"/>
  <c r="AL116" i="10"/>
  <c r="AL120" i="10"/>
  <c r="AL126" i="10"/>
  <c r="AL133" i="10"/>
  <c r="AL117" i="10"/>
  <c r="AL121" i="10"/>
  <c r="AL132" i="10"/>
  <c r="AL119" i="10"/>
  <c r="AL118" i="10"/>
  <c r="AL124" i="10"/>
  <c r="AL129" i="10"/>
  <c r="AL128" i="10"/>
  <c r="AL122" i="10"/>
  <c r="AL123" i="10"/>
  <c r="AZ134" i="10"/>
  <c r="AZ131" i="10"/>
  <c r="AZ130" i="10"/>
  <c r="AZ118" i="10"/>
  <c r="AZ115" i="10"/>
  <c r="Z116" i="10"/>
  <c r="AB116" i="10" s="1"/>
  <c r="Y115" i="10"/>
  <c r="Z115" i="10"/>
  <c r="AA115" i="10"/>
  <c r="A119" i="10"/>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S34" i="12"/>
  <c r="R34" i="12"/>
  <c r="Q34" i="12"/>
  <c r="P34" i="12"/>
  <c r="O34" i="12"/>
  <c r="N34" i="12"/>
  <c r="M34" i="12"/>
  <c r="M53" i="12"/>
  <c r="L34" i="12"/>
  <c r="L53" i="12"/>
  <c r="K34" i="12"/>
  <c r="K53" i="12"/>
  <c r="J34" i="12"/>
  <c r="J53" i="12"/>
  <c r="I34" i="12"/>
  <c r="I53" i="12"/>
  <c r="H34" i="12"/>
  <c r="H53" i="12"/>
  <c r="G34" i="12"/>
  <c r="G53" i="12"/>
  <c r="F34" i="12"/>
  <c r="F53" i="12"/>
  <c r="E34" i="12"/>
  <c r="E53" i="12"/>
  <c r="D34" i="12"/>
  <c r="D53" i="12"/>
  <c r="C34" i="12"/>
  <c r="C53" i="12"/>
  <c r="B34" i="12"/>
  <c r="B53" i="12"/>
  <c r="S33" i="12"/>
  <c r="R33" i="12"/>
  <c r="Q33" i="12"/>
  <c r="P33" i="12"/>
  <c r="O33" i="12"/>
  <c r="N33" i="12"/>
  <c r="M33" i="12"/>
  <c r="M52" i="12"/>
  <c r="L33" i="12"/>
  <c r="L52" i="12"/>
  <c r="K33" i="12"/>
  <c r="K52" i="12"/>
  <c r="J33" i="12"/>
  <c r="J52" i="12"/>
  <c r="I33" i="12"/>
  <c r="I52" i="12"/>
  <c r="H33" i="12"/>
  <c r="H52" i="12"/>
  <c r="G33" i="12"/>
  <c r="G52" i="12"/>
  <c r="F33" i="12"/>
  <c r="F52" i="12"/>
  <c r="E33" i="12"/>
  <c r="E52" i="12"/>
  <c r="D33" i="12"/>
  <c r="D52" i="12"/>
  <c r="C33" i="12"/>
  <c r="C52" i="12"/>
  <c r="B33" i="12"/>
  <c r="B52" i="12"/>
  <c r="S32" i="12"/>
  <c r="R32" i="12"/>
  <c r="Q32" i="12"/>
  <c r="P32" i="12"/>
  <c r="O32" i="12"/>
  <c r="N32" i="12"/>
  <c r="M32" i="12"/>
  <c r="M51" i="12"/>
  <c r="L32" i="12"/>
  <c r="L51" i="12"/>
  <c r="K32" i="12"/>
  <c r="K51" i="12"/>
  <c r="J32" i="12"/>
  <c r="J51" i="12"/>
  <c r="I32" i="12"/>
  <c r="I51" i="12"/>
  <c r="H32" i="12"/>
  <c r="H51" i="12"/>
  <c r="G32" i="12"/>
  <c r="G51" i="12"/>
  <c r="F32" i="12"/>
  <c r="F51" i="12"/>
  <c r="E32" i="12"/>
  <c r="E51" i="12"/>
  <c r="D32" i="12"/>
  <c r="D51" i="12"/>
  <c r="C32" i="12"/>
  <c r="C51" i="12"/>
  <c r="B51" i="12"/>
  <c r="S31" i="12"/>
  <c r="R31" i="12"/>
  <c r="Q31" i="12"/>
  <c r="P31" i="12"/>
  <c r="O31" i="12"/>
  <c r="N31" i="12"/>
  <c r="M31" i="12"/>
  <c r="M50" i="12"/>
  <c r="L31" i="12"/>
  <c r="L50" i="12"/>
  <c r="K31" i="12"/>
  <c r="K50" i="12"/>
  <c r="J31" i="12"/>
  <c r="J50" i="12"/>
  <c r="I31" i="12"/>
  <c r="I50" i="12"/>
  <c r="H31" i="12"/>
  <c r="H50" i="12"/>
  <c r="G31" i="12"/>
  <c r="G50" i="12"/>
  <c r="F31" i="12"/>
  <c r="F50" i="12"/>
  <c r="E31" i="12"/>
  <c r="E50" i="12"/>
  <c r="D31" i="12"/>
  <c r="D50" i="12"/>
  <c r="C31" i="12"/>
  <c r="C50" i="12"/>
  <c r="B50" i="12"/>
  <c r="S30" i="12"/>
  <c r="R30" i="12"/>
  <c r="Q30" i="12"/>
  <c r="P30" i="12"/>
  <c r="O30" i="12"/>
  <c r="N30" i="12"/>
  <c r="M30" i="12"/>
  <c r="M49" i="12"/>
  <c r="L30" i="12"/>
  <c r="L49" i="12"/>
  <c r="K30" i="12"/>
  <c r="K49" i="12"/>
  <c r="J30" i="12"/>
  <c r="J49" i="12"/>
  <c r="I30" i="12"/>
  <c r="I49" i="12"/>
  <c r="H30" i="12"/>
  <c r="H49" i="12"/>
  <c r="G30" i="12"/>
  <c r="G49" i="12"/>
  <c r="F30" i="12"/>
  <c r="F49" i="12"/>
  <c r="E30" i="12"/>
  <c r="E49" i="12"/>
  <c r="D30" i="12"/>
  <c r="C30" i="12"/>
  <c r="C49" i="12"/>
  <c r="B49" i="12"/>
  <c r="S29" i="12"/>
  <c r="R29" i="12"/>
  <c r="Q29" i="12"/>
  <c r="P29" i="12"/>
  <c r="O29" i="12"/>
  <c r="N29" i="12"/>
  <c r="M29" i="12"/>
  <c r="M48" i="12"/>
  <c r="L29" i="12"/>
  <c r="L48" i="12"/>
  <c r="K29" i="12"/>
  <c r="K48" i="12"/>
  <c r="J29" i="12"/>
  <c r="J48" i="12"/>
  <c r="I29" i="12"/>
  <c r="I48" i="12"/>
  <c r="H29" i="12"/>
  <c r="H48" i="12"/>
  <c r="G29" i="12"/>
  <c r="G48" i="12"/>
  <c r="F29" i="12"/>
  <c r="F48" i="12"/>
  <c r="E29" i="12"/>
  <c r="E48" i="12"/>
  <c r="D29" i="12"/>
  <c r="C29" i="12"/>
  <c r="C48" i="12"/>
  <c r="B48" i="12"/>
  <c r="S28" i="12"/>
  <c r="R28" i="12"/>
  <c r="Q28" i="12"/>
  <c r="P28" i="12"/>
  <c r="O28" i="12"/>
  <c r="N28" i="12"/>
  <c r="M28" i="12"/>
  <c r="M47" i="12"/>
  <c r="L28" i="12"/>
  <c r="L47" i="12"/>
  <c r="K28" i="12"/>
  <c r="K47" i="12"/>
  <c r="J28" i="12"/>
  <c r="J47" i="12"/>
  <c r="I28" i="12"/>
  <c r="I47" i="12"/>
  <c r="H28" i="12"/>
  <c r="H47" i="12"/>
  <c r="G28" i="12"/>
  <c r="G47" i="12"/>
  <c r="F28" i="12"/>
  <c r="F47" i="12"/>
  <c r="E28" i="12"/>
  <c r="E47" i="12"/>
  <c r="C28" i="12"/>
  <c r="C47" i="12"/>
  <c r="B47" i="12"/>
  <c r="S27" i="12"/>
  <c r="R27" i="12"/>
  <c r="Q27" i="12"/>
  <c r="P27" i="12"/>
  <c r="O27" i="12"/>
  <c r="N27" i="12"/>
  <c r="M27" i="12"/>
  <c r="M46" i="12"/>
  <c r="L27" i="12"/>
  <c r="L46" i="12"/>
  <c r="K27" i="12"/>
  <c r="K46" i="12"/>
  <c r="J27" i="12"/>
  <c r="J46" i="12"/>
  <c r="I27" i="12"/>
  <c r="I46" i="12"/>
  <c r="H27" i="12"/>
  <c r="H46" i="12"/>
  <c r="G27" i="12"/>
  <c r="G46" i="12"/>
  <c r="F27" i="12"/>
  <c r="F46" i="12"/>
  <c r="E27" i="12"/>
  <c r="E46" i="12"/>
  <c r="D46" i="12"/>
  <c r="C27" i="12"/>
  <c r="C46" i="12"/>
  <c r="B27" i="12"/>
  <c r="B46" i="12"/>
  <c r="S26" i="12"/>
  <c r="R26" i="12"/>
  <c r="Q26" i="12"/>
  <c r="P26" i="12"/>
  <c r="O26" i="12"/>
  <c r="N26" i="12"/>
  <c r="M26" i="12"/>
  <c r="M45" i="12"/>
  <c r="L26" i="12"/>
  <c r="L45" i="12"/>
  <c r="K26" i="12"/>
  <c r="K45" i="12"/>
  <c r="J26" i="12"/>
  <c r="J45" i="12"/>
  <c r="I26" i="12"/>
  <c r="I45" i="12"/>
  <c r="H26" i="12"/>
  <c r="H45" i="12"/>
  <c r="G26" i="12"/>
  <c r="G45" i="12"/>
  <c r="F26" i="12"/>
  <c r="F45" i="12"/>
  <c r="E26" i="12"/>
  <c r="E45" i="12"/>
  <c r="D26" i="12"/>
  <c r="D45" i="12"/>
  <c r="C26" i="12"/>
  <c r="C45" i="12"/>
  <c r="B26" i="12"/>
  <c r="B45" i="12"/>
  <c r="S25" i="12"/>
  <c r="R25" i="12"/>
  <c r="Q25" i="12"/>
  <c r="P25" i="12"/>
  <c r="O25" i="12"/>
  <c r="N25" i="12"/>
  <c r="M25" i="12"/>
  <c r="M44" i="12"/>
  <c r="L25" i="12"/>
  <c r="L44" i="12"/>
  <c r="K25" i="12"/>
  <c r="K44" i="12"/>
  <c r="J25" i="12"/>
  <c r="J44" i="12"/>
  <c r="I25" i="12"/>
  <c r="I44" i="12"/>
  <c r="H25" i="12"/>
  <c r="H44" i="12"/>
  <c r="G25" i="12"/>
  <c r="G44" i="12"/>
  <c r="F25" i="12"/>
  <c r="F44" i="12"/>
  <c r="E25" i="12"/>
  <c r="E44" i="12"/>
  <c r="D44" i="12"/>
  <c r="C25" i="12"/>
  <c r="C44" i="12"/>
  <c r="B25" i="12"/>
  <c r="B44" i="12"/>
  <c r="S24" i="12"/>
  <c r="R24" i="12"/>
  <c r="Q24" i="12"/>
  <c r="P24" i="12"/>
  <c r="O24" i="12"/>
  <c r="N24" i="12"/>
  <c r="M24" i="12"/>
  <c r="M43" i="12"/>
  <c r="L24" i="12"/>
  <c r="L43" i="12"/>
  <c r="K24" i="12"/>
  <c r="K43" i="12"/>
  <c r="J24" i="12"/>
  <c r="J43" i="12"/>
  <c r="I24" i="12"/>
  <c r="I43" i="12"/>
  <c r="H24" i="12"/>
  <c r="H43" i="12"/>
  <c r="G24" i="12"/>
  <c r="G43" i="12"/>
  <c r="F24" i="12"/>
  <c r="F43" i="12"/>
  <c r="E24" i="12"/>
  <c r="E43" i="12"/>
  <c r="D24" i="12"/>
  <c r="D43" i="12"/>
  <c r="C24" i="12"/>
  <c r="C43" i="12"/>
  <c r="B24" i="12"/>
  <c r="B43" i="12"/>
  <c r="S23" i="12"/>
  <c r="R23" i="12"/>
  <c r="Q23" i="12"/>
  <c r="P23" i="12"/>
  <c r="O23" i="12"/>
  <c r="N23" i="12"/>
  <c r="M23" i="12"/>
  <c r="M42" i="12"/>
  <c r="L23" i="12"/>
  <c r="L42" i="12"/>
  <c r="K23" i="12"/>
  <c r="K42" i="12"/>
  <c r="J23" i="12"/>
  <c r="J42" i="12"/>
  <c r="I23" i="12"/>
  <c r="I42" i="12"/>
  <c r="H23" i="12"/>
  <c r="H42" i="12"/>
  <c r="G23" i="12"/>
  <c r="G42" i="12"/>
  <c r="F23" i="12"/>
  <c r="F42" i="12"/>
  <c r="E23" i="12"/>
  <c r="E42" i="12"/>
  <c r="D42" i="12"/>
  <c r="D86" i="10" s="1"/>
  <c r="C23" i="12"/>
  <c r="C42" i="12"/>
  <c r="B23" i="12"/>
  <c r="B42" i="12"/>
  <c r="S115" i="10"/>
  <c r="T115" i="10"/>
  <c r="V115" i="10" s="1"/>
  <c r="U115" i="10"/>
  <c r="S119" i="10"/>
  <c r="S121" i="10"/>
  <c r="U116" i="10"/>
  <c r="W116" i="10" s="1"/>
  <c r="Q115" i="10"/>
  <c r="Q121" i="10" s="1"/>
  <c r="Q119" i="10"/>
  <c r="C119" i="10"/>
  <c r="C115" i="10"/>
  <c r="C121" i="10" s="1"/>
  <c r="T39" i="1"/>
  <c r="A39" i="1" s="1"/>
  <c r="T38" i="1"/>
  <c r="A38" i="1" s="1"/>
  <c r="Y40" i="1"/>
  <c r="P119" i="10"/>
  <c r="P115" i="10"/>
  <c r="P121" i="10" s="1"/>
  <c r="O119" i="10"/>
  <c r="O115" i="10"/>
  <c r="O121" i="10" s="1"/>
  <c r="Z60" i="1"/>
  <c r="T61" i="1"/>
  <c r="A61" i="1"/>
  <c r="T60" i="1"/>
  <c r="A60" i="1" s="1"/>
  <c r="T59" i="1"/>
  <c r="A59" i="1"/>
  <c r="T58" i="1"/>
  <c r="A58" i="1" s="1"/>
  <c r="T57" i="1"/>
  <c r="A57" i="1" s="1"/>
  <c r="T56" i="1"/>
  <c r="A56" i="1" s="1"/>
  <c r="D119" i="10"/>
  <c r="D115" i="10"/>
  <c r="D121" i="10" s="1"/>
  <c r="Z28" i="1"/>
  <c r="T32" i="1"/>
  <c r="A32" i="1" s="1"/>
  <c r="T31" i="1"/>
  <c r="A31" i="1" s="1"/>
  <c r="T29" i="1"/>
  <c r="A29" i="1" s="1"/>
  <c r="T26" i="1"/>
  <c r="A26" i="1" s="1"/>
  <c r="F119" i="10"/>
  <c r="F115" i="10"/>
  <c r="F121" i="10" s="1"/>
  <c r="E119" i="10"/>
  <c r="E115" i="10"/>
  <c r="E121" i="10" s="1"/>
  <c r="N119" i="10"/>
  <c r="N115" i="10"/>
  <c r="N121" i="10" s="1"/>
  <c r="B119" i="10"/>
  <c r="B115" i="10"/>
  <c r="B121" i="10" s="1"/>
  <c r="H119" i="10"/>
  <c r="H115" i="10"/>
  <c r="H121" i="10" s="1"/>
  <c r="G119" i="10"/>
  <c r="G115" i="10"/>
  <c r="G121" i="10" s="1"/>
  <c r="I119" i="10"/>
  <c r="I115" i="10"/>
  <c r="I121" i="10" s="1"/>
  <c r="T49" i="1"/>
  <c r="A49" i="1" s="1"/>
  <c r="T48" i="1"/>
  <c r="A48" i="1"/>
  <c r="T47" i="1"/>
  <c r="A47" i="1" s="1"/>
  <c r="T37" i="1"/>
  <c r="A37" i="1" s="1"/>
  <c r="T30" i="1"/>
  <c r="A30" i="1" s="1"/>
  <c r="T28" i="1"/>
  <c r="A28" i="1"/>
  <c r="T27" i="1"/>
  <c r="A27" i="1" s="1"/>
  <c r="T25" i="1"/>
  <c r="A25" i="1"/>
  <c r="T24" i="1"/>
  <c r="A24" i="1" s="1"/>
  <c r="T23" i="1"/>
  <c r="A23" i="1"/>
  <c r="Y50" i="1"/>
  <c r="H116" i="10"/>
  <c r="AO135" i="10"/>
  <c r="AK134" i="10"/>
  <c r="D117" i="10"/>
  <c r="AM116" i="10"/>
  <c r="AO134" i="10"/>
  <c r="AM129" i="10"/>
  <c r="E117" i="10"/>
  <c r="AO127" i="10"/>
  <c r="AK124" i="10"/>
  <c r="AK130" i="10"/>
  <c r="AK127" i="10"/>
  <c r="AK119" i="10"/>
  <c r="D116" i="10"/>
  <c r="AM124" i="10"/>
  <c r="AK128" i="10"/>
  <c r="I118" i="10"/>
  <c r="AO133" i="10"/>
  <c r="AM122" i="10"/>
  <c r="AO115" i="10"/>
  <c r="A117" i="10"/>
  <c r="A118" i="10"/>
  <c r="F117" i="10"/>
  <c r="AM128" i="10"/>
  <c r="AO126" i="10"/>
  <c r="AO120" i="10"/>
  <c r="AK135" i="10"/>
  <c r="E118" i="10"/>
  <c r="AK132" i="10"/>
  <c r="AO124" i="10"/>
  <c r="AM123" i="10"/>
  <c r="N116" i="10"/>
  <c r="B117" i="10"/>
  <c r="P118" i="10"/>
  <c r="AM117" i="10"/>
  <c r="I117" i="10"/>
  <c r="Q117" i="10"/>
  <c r="AM118" i="10"/>
  <c r="AK129" i="10"/>
  <c r="AK116" i="10"/>
  <c r="AM115" i="10"/>
  <c r="P116" i="10"/>
  <c r="AO116" i="10"/>
  <c r="AO125" i="10"/>
  <c r="I116" i="10"/>
  <c r="AK133" i="10"/>
  <c r="AK118" i="10"/>
  <c r="Q116" i="10"/>
  <c r="C117" i="10"/>
  <c r="G116" i="10"/>
  <c r="AO131" i="10"/>
  <c r="AO128" i="10"/>
  <c r="AK115" i="10"/>
  <c r="P117" i="10"/>
  <c r="AM133" i="10"/>
  <c r="AM130" i="10"/>
  <c r="AK131" i="10"/>
  <c r="F118" i="10"/>
  <c r="AO121" i="10"/>
  <c r="F116" i="10"/>
  <c r="AK122" i="10"/>
  <c r="AO118" i="10"/>
  <c r="AM119" i="10"/>
  <c r="AM132" i="10"/>
  <c r="AO119" i="10"/>
  <c r="AM125" i="10"/>
  <c r="S118" i="10"/>
  <c r="D118" i="10"/>
  <c r="AO129" i="10"/>
  <c r="G117" i="10"/>
  <c r="AK117" i="10"/>
  <c r="S117" i="10"/>
  <c r="S116" i="10"/>
  <c r="O116" i="10"/>
  <c r="AK123" i="10"/>
  <c r="AK120" i="10"/>
  <c r="N117" i="10"/>
  <c r="AO117" i="10"/>
  <c r="AO123" i="10"/>
  <c r="E116" i="10"/>
  <c r="B118" i="10"/>
  <c r="AO132" i="10"/>
  <c r="G118" i="10"/>
  <c r="O117" i="10"/>
  <c r="C116" i="10"/>
  <c r="AK121" i="10"/>
  <c r="AM121" i="10"/>
  <c r="B116" i="10"/>
  <c r="H117" i="10"/>
  <c r="AK125" i="10"/>
  <c r="AM120" i="10"/>
  <c r="A116" i="10"/>
  <c r="AO122" i="10"/>
  <c r="O118" i="10"/>
  <c r="AM135" i="10"/>
  <c r="AK126" i="10"/>
  <c r="AM127" i="10"/>
  <c r="Q118" i="10"/>
  <c r="AM131" i="10"/>
  <c r="AO130" i="10"/>
  <c r="N118" i="10"/>
  <c r="AM134" i="10"/>
  <c r="H118" i="10"/>
  <c r="C118" i="10"/>
  <c r="AM126" i="10"/>
  <c r="AB25" i="1" l="1"/>
  <c r="AY129" i="10"/>
  <c r="BC129" i="10" s="1"/>
  <c r="Y28" i="1"/>
  <c r="W58" i="1"/>
  <c r="X50" i="1"/>
  <c r="Z117" i="10"/>
  <c r="Z118" i="10" s="1"/>
  <c r="AA118" i="10" s="1"/>
  <c r="AY121" i="10"/>
  <c r="BC121" i="10" s="1"/>
  <c r="AY133" i="10"/>
  <c r="BC133" i="10" s="1"/>
  <c r="Z37" i="1"/>
  <c r="Z49" i="1"/>
  <c r="W57" i="1"/>
  <c r="AA28" i="1"/>
  <c r="AY125" i="10"/>
  <c r="BC125" i="10" s="1"/>
  <c r="W26" i="1"/>
  <c r="AB26" i="1" s="1"/>
  <c r="U26" i="1" s="1"/>
  <c r="Z29" i="1" s="1"/>
  <c r="U117" i="10"/>
  <c r="X28" i="1"/>
  <c r="AA58" i="1"/>
  <c r="AB24" i="1"/>
  <c r="W28" i="1"/>
  <c r="AB118" i="10"/>
  <c r="Z119" i="10"/>
  <c r="AC119" i="10" s="1"/>
  <c r="AB27" i="1"/>
  <c r="AC117" i="10"/>
  <c r="AA116" i="10"/>
  <c r="AB117" i="10"/>
  <c r="W38" i="1"/>
  <c r="AC118" i="10"/>
  <c r="AA117" i="10"/>
  <c r="W48" i="1"/>
  <c r="V116" i="10"/>
  <c r="AC116" i="10"/>
  <c r="S122" i="10"/>
  <c r="AU134" i="10"/>
  <c r="AW134" i="10" s="1"/>
  <c r="AU130" i="10"/>
  <c r="AW130" i="10" s="1"/>
  <c r="AU126" i="10"/>
  <c r="AW126" i="10" s="1"/>
  <c r="AU122" i="10"/>
  <c r="AW122" i="10" s="1"/>
  <c r="AU118" i="10"/>
  <c r="AW118" i="10" s="1"/>
  <c r="AV115" i="10"/>
  <c r="AV134" i="10"/>
  <c r="AV130" i="10"/>
  <c r="AV126" i="10"/>
  <c r="AV122" i="10"/>
  <c r="AV118" i="10"/>
  <c r="AU135" i="10"/>
  <c r="AW135" i="10" s="1"/>
  <c r="AU131" i="10"/>
  <c r="AW131" i="10" s="1"/>
  <c r="AU127" i="10"/>
  <c r="AW127" i="10" s="1"/>
  <c r="AU123" i="10"/>
  <c r="AW123" i="10" s="1"/>
  <c r="AU119" i="10"/>
  <c r="AW119" i="10" s="1"/>
  <c r="AU115" i="10"/>
  <c r="AW115" i="10" s="1"/>
  <c r="AV116" i="10"/>
  <c r="AV135" i="10"/>
  <c r="AV131" i="10"/>
  <c r="AV127" i="10"/>
  <c r="AV123" i="10"/>
  <c r="AV119" i="10"/>
  <c r="AU132" i="10"/>
  <c r="AW132" i="10" s="1"/>
  <c r="AU128" i="10"/>
  <c r="AW128" i="10" s="1"/>
  <c r="AU124" i="10"/>
  <c r="AW124" i="10" s="1"/>
  <c r="AU120" i="10"/>
  <c r="AW120" i="10" s="1"/>
  <c r="AU116" i="10"/>
  <c r="AW116" i="10" s="1"/>
  <c r="AV132" i="10"/>
  <c r="AV128" i="10"/>
  <c r="AV124" i="10"/>
  <c r="AV120" i="10"/>
  <c r="AU133" i="10"/>
  <c r="AW133" i="10" s="1"/>
  <c r="AU129" i="10"/>
  <c r="AW129" i="10" s="1"/>
  <c r="AU125" i="10"/>
  <c r="AW125" i="10" s="1"/>
  <c r="AU121" i="10"/>
  <c r="AW121" i="10" s="1"/>
  <c r="AU117" i="10"/>
  <c r="AW117" i="10" s="1"/>
  <c r="AV133" i="10"/>
  <c r="AV129" i="10"/>
  <c r="AV125" i="10"/>
  <c r="AV121" i="10"/>
  <c r="AV117" i="10"/>
  <c r="S124" i="10"/>
  <c r="S125" i="10"/>
  <c r="S123" i="10"/>
  <c r="AS115" i="10"/>
  <c r="AT116" i="10"/>
  <c r="AS119" i="10"/>
  <c r="AT120" i="10"/>
  <c r="AS122" i="10"/>
  <c r="AS123" i="10"/>
  <c r="AT124" i="10"/>
  <c r="AT126" i="10"/>
  <c r="AT128" i="10"/>
  <c r="AT130" i="10"/>
  <c r="AT132" i="10"/>
  <c r="AT134" i="10"/>
  <c r="AS118" i="10"/>
  <c r="AT118" i="10"/>
  <c r="AS120" i="10"/>
  <c r="AT121" i="10"/>
  <c r="AT122" i="10"/>
  <c r="AS124" i="10"/>
  <c r="AS126" i="10"/>
  <c r="AS128" i="10"/>
  <c r="AS130" i="10"/>
  <c r="AS132" i="10"/>
  <c r="AS134" i="10"/>
  <c r="AS116" i="10"/>
  <c r="AT117" i="10"/>
  <c r="AT119" i="10"/>
  <c r="AT123" i="10"/>
  <c r="AT125" i="10"/>
  <c r="AT127" i="10"/>
  <c r="AT129" i="10"/>
  <c r="AT131" i="10"/>
  <c r="AT133" i="10"/>
  <c r="AT135" i="10"/>
  <c r="AT115" i="10"/>
  <c r="AS117" i="10"/>
  <c r="AS121" i="10"/>
  <c r="AS125" i="10"/>
  <c r="AS127" i="10"/>
  <c r="AS129" i="10"/>
  <c r="AS131" i="10"/>
  <c r="AS133" i="10"/>
  <c r="AS135" i="10"/>
  <c r="Q122" i="10"/>
  <c r="Q124" i="10"/>
  <c r="Q125" i="10"/>
  <c r="Q123" i="10"/>
  <c r="B95" i="10"/>
  <c r="B91" i="10"/>
  <c r="B92" i="10"/>
  <c r="C86" i="10"/>
  <c r="J88" i="10"/>
  <c r="L88" i="10"/>
  <c r="C89" i="10"/>
  <c r="F97" i="10"/>
  <c r="B123" i="10"/>
  <c r="D125" i="10"/>
  <c r="D89" i="10"/>
  <c r="H93" i="10"/>
  <c r="A122" i="10"/>
  <c r="N123" i="10"/>
  <c r="F90" i="10"/>
  <c r="H90" i="10"/>
  <c r="L90" i="10"/>
  <c r="H125" i="10"/>
  <c r="J86" i="10"/>
  <c r="L86" i="10"/>
  <c r="P125" i="10"/>
  <c r="C91" i="10"/>
  <c r="F91" i="10"/>
  <c r="D92" i="10"/>
  <c r="L93" i="10"/>
  <c r="I95" i="10"/>
  <c r="M95" i="10"/>
  <c r="B96" i="10"/>
  <c r="G91" i="10"/>
  <c r="O124" i="10"/>
  <c r="C123" i="10"/>
  <c r="C87" i="10"/>
  <c r="I87" i="10"/>
  <c r="K87" i="10"/>
  <c r="M88" i="10"/>
  <c r="B90" i="10"/>
  <c r="M90" i="10"/>
  <c r="H92" i="10"/>
  <c r="J92" i="10"/>
  <c r="D93" i="10"/>
  <c r="J97" i="10"/>
  <c r="N122" i="10"/>
  <c r="O125" i="10"/>
  <c r="P122" i="10"/>
  <c r="C124" i="10"/>
  <c r="G86" i="10"/>
  <c r="I86" i="10"/>
  <c r="K92" i="10"/>
  <c r="G93" i="10"/>
  <c r="K93" i="10"/>
  <c r="B94" i="10"/>
  <c r="C96" i="10"/>
  <c r="D90" i="10"/>
  <c r="P123" i="10"/>
  <c r="C125" i="10"/>
  <c r="L94" i="10"/>
  <c r="J95" i="10"/>
  <c r="L96" i="10"/>
  <c r="C97" i="10"/>
  <c r="E97" i="10"/>
  <c r="I97" i="10"/>
  <c r="A123" i="10"/>
  <c r="B93" i="10"/>
  <c r="D88" i="10"/>
  <c r="B88" i="10"/>
  <c r="D87" i="10"/>
  <c r="N124" i="10"/>
  <c r="F87" i="10"/>
  <c r="H87" i="10"/>
  <c r="L87" i="10"/>
  <c r="E88" i="10"/>
  <c r="I88" i="10"/>
  <c r="I90" i="10"/>
  <c r="K90" i="10"/>
  <c r="F93" i="10"/>
  <c r="I94" i="10"/>
  <c r="K94" i="10"/>
  <c r="F95" i="10"/>
  <c r="H95" i="10"/>
  <c r="I125" i="10"/>
  <c r="H122" i="10"/>
  <c r="I122" i="10"/>
  <c r="H124" i="10"/>
  <c r="M87" i="10"/>
  <c r="F89" i="10"/>
  <c r="L89" i="10"/>
  <c r="I91" i="10"/>
  <c r="K91" i="10"/>
  <c r="D94" i="10"/>
  <c r="E96" i="10"/>
  <c r="K96" i="10"/>
  <c r="G123" i="10"/>
  <c r="K86" i="10"/>
  <c r="G89" i="10"/>
  <c r="L91" i="10"/>
  <c r="D96" i="10"/>
  <c r="B124" i="10"/>
  <c r="I124" i="10"/>
  <c r="D124" i="10"/>
  <c r="F86" i="10"/>
  <c r="F88" i="10"/>
  <c r="H88" i="10"/>
  <c r="K88" i="10"/>
  <c r="I89" i="10"/>
  <c r="K89" i="10"/>
  <c r="C90" i="10"/>
  <c r="C92" i="10"/>
  <c r="E92" i="10"/>
  <c r="G92" i="10"/>
  <c r="F94" i="10"/>
  <c r="H94" i="10"/>
  <c r="F96" i="10"/>
  <c r="H96" i="10"/>
  <c r="J96" i="10"/>
  <c r="M96" i="10"/>
  <c r="B97" i="10"/>
  <c r="K97" i="10"/>
  <c r="M97" i="10"/>
  <c r="H89" i="10"/>
  <c r="M92" i="10"/>
  <c r="C94" i="10"/>
  <c r="E94" i="10"/>
  <c r="E95" i="10"/>
  <c r="G96" i="10"/>
  <c r="H97" i="10"/>
  <c r="O123" i="10"/>
  <c r="E87" i="10"/>
  <c r="C88" i="10"/>
  <c r="E90" i="10"/>
  <c r="H91" i="10"/>
  <c r="L92" i="10"/>
  <c r="M94" i="10"/>
  <c r="E123" i="10"/>
  <c r="F125" i="10"/>
  <c r="I93" i="10"/>
  <c r="C95" i="10"/>
  <c r="K95" i="10"/>
  <c r="A124" i="10"/>
  <c r="D91" i="10"/>
  <c r="B122" i="10"/>
  <c r="N125" i="10"/>
  <c r="E122" i="10"/>
  <c r="E124" i="10"/>
  <c r="F122" i="10"/>
  <c r="O122" i="10"/>
  <c r="C122" i="10"/>
  <c r="E86" i="10"/>
  <c r="H86" i="10"/>
  <c r="M86" i="10"/>
  <c r="B87" i="10"/>
  <c r="G87" i="10"/>
  <c r="J87" i="10"/>
  <c r="B89" i="10"/>
  <c r="E89" i="10"/>
  <c r="J89" i="10"/>
  <c r="M89" i="10"/>
  <c r="G90" i="10"/>
  <c r="J90" i="10"/>
  <c r="E91" i="10"/>
  <c r="J91" i="10"/>
  <c r="M91" i="10"/>
  <c r="F92" i="10"/>
  <c r="I92" i="10"/>
  <c r="C93" i="10"/>
  <c r="E93" i="10"/>
  <c r="J93" i="10"/>
  <c r="M93" i="10"/>
  <c r="G94" i="10"/>
  <c r="J94" i="10"/>
  <c r="D95" i="10"/>
  <c r="G95" i="10"/>
  <c r="L95" i="10"/>
  <c r="D97" i="10"/>
  <c r="G97" i="10"/>
  <c r="L97" i="10"/>
  <c r="I123" i="10"/>
  <c r="G122" i="10"/>
  <c r="G124" i="10"/>
  <c r="E125" i="10"/>
  <c r="F123" i="10"/>
  <c r="D122" i="10"/>
  <c r="B86" i="10"/>
  <c r="G88" i="10"/>
  <c r="I96" i="10"/>
  <c r="B125" i="10"/>
  <c r="G125" i="10"/>
  <c r="H123" i="10"/>
  <c r="D123" i="10"/>
  <c r="F124" i="10"/>
  <c r="A125" i="10"/>
  <c r="P124" i="10"/>
  <c r="P125" i="4"/>
  <c r="P104" i="4"/>
  <c r="P83" i="4"/>
  <c r="P61" i="4"/>
  <c r="P19" i="4"/>
  <c r="P15" i="4"/>
  <c r="P9" i="4"/>
  <c r="P14" i="4"/>
  <c r="P24" i="4"/>
  <c r="P28" i="4"/>
  <c r="P32" i="4"/>
  <c r="P36" i="4"/>
  <c r="P40" i="4"/>
  <c r="P44" i="4"/>
  <c r="P48" i="4"/>
  <c r="P52" i="4"/>
  <c r="P17" i="4"/>
  <c r="P7" i="4"/>
  <c r="P11" i="4"/>
  <c r="P22" i="4"/>
  <c r="P26" i="4"/>
  <c r="P30" i="4"/>
  <c r="P34" i="4"/>
  <c r="P38" i="4"/>
  <c r="P42" i="4"/>
  <c r="P46" i="4"/>
  <c r="P50" i="4"/>
  <c r="P54" i="4"/>
  <c r="P58" i="4"/>
  <c r="P62" i="4"/>
  <c r="P66" i="4"/>
  <c r="P70" i="4"/>
  <c r="P74" i="4"/>
  <c r="P78" i="4"/>
  <c r="P82" i="4"/>
  <c r="P86" i="4"/>
  <c r="P90" i="4"/>
  <c r="P94" i="4"/>
  <c r="P98" i="4"/>
  <c r="P102" i="4"/>
  <c r="P106" i="4"/>
  <c r="P110" i="4"/>
  <c r="P114" i="4"/>
  <c r="P118" i="4"/>
  <c r="P122" i="4"/>
  <c r="P126" i="4"/>
  <c r="P130" i="4"/>
  <c r="P20" i="4"/>
  <c r="P8" i="4"/>
  <c r="P23" i="4"/>
  <c r="P31" i="4"/>
  <c r="P39" i="4"/>
  <c r="P47" i="4"/>
  <c r="P55" i="4"/>
  <c r="P60" i="4"/>
  <c r="P65" i="4"/>
  <c r="P71" i="4"/>
  <c r="P76" i="4"/>
  <c r="P81" i="4"/>
  <c r="P87" i="4"/>
  <c r="P92" i="4"/>
  <c r="P97" i="4"/>
  <c r="P103" i="4"/>
  <c r="P108" i="4"/>
  <c r="P113" i="4"/>
  <c r="P119" i="4"/>
  <c r="P124" i="4"/>
  <c r="P129" i="4"/>
  <c r="P12" i="4"/>
  <c r="P16" i="4"/>
  <c r="P13" i="4"/>
  <c r="P27" i="4"/>
  <c r="P35" i="4"/>
  <c r="P43" i="4"/>
  <c r="P51" i="4"/>
  <c r="P57" i="4"/>
  <c r="P63" i="4"/>
  <c r="P68" i="4"/>
  <c r="P73" i="4"/>
  <c r="P79" i="4"/>
  <c r="P84" i="4"/>
  <c r="P89" i="4"/>
  <c r="P95" i="4"/>
  <c r="P100" i="4"/>
  <c r="P105" i="4"/>
  <c r="P111" i="4"/>
  <c r="P116" i="4"/>
  <c r="P121" i="4"/>
  <c r="P127" i="4"/>
  <c r="P5" i="4"/>
  <c r="P6" i="4"/>
  <c r="P21" i="4"/>
  <c r="P29" i="4"/>
  <c r="P37" i="4"/>
  <c r="P45" i="4"/>
  <c r="P53" i="4"/>
  <c r="P59" i="4"/>
  <c r="P64" i="4"/>
  <c r="P69" i="4"/>
  <c r="P75" i="4"/>
  <c r="P80" i="4"/>
  <c r="P85" i="4"/>
  <c r="P91" i="4"/>
  <c r="P96" i="4"/>
  <c r="P101" i="4"/>
  <c r="P107" i="4"/>
  <c r="P112" i="4"/>
  <c r="P117" i="4"/>
  <c r="P123" i="4"/>
  <c r="P128" i="4"/>
  <c r="P115" i="4"/>
  <c r="P93" i="4"/>
  <c r="P72" i="4"/>
  <c r="P49" i="4"/>
  <c r="P10" i="4"/>
  <c r="P131" i="4"/>
  <c r="P109" i="4"/>
  <c r="P88" i="4"/>
  <c r="P67" i="4"/>
  <c r="P41" i="4"/>
  <c r="P18" i="4"/>
  <c r="T6" i="4"/>
  <c r="T10" i="4"/>
  <c r="T14" i="4"/>
  <c r="T18" i="4"/>
  <c r="T22" i="4"/>
  <c r="T26" i="4"/>
  <c r="T30" i="4"/>
  <c r="T34" i="4"/>
  <c r="T38" i="4"/>
  <c r="T42" i="4"/>
  <c r="T46" i="4"/>
  <c r="T50" i="4"/>
  <c r="T54" i="4"/>
  <c r="T58" i="4"/>
  <c r="T62" i="4"/>
  <c r="T66" i="4"/>
  <c r="T70" i="4"/>
  <c r="T74" i="4"/>
  <c r="T78" i="4"/>
  <c r="T82" i="4"/>
  <c r="T86" i="4"/>
  <c r="T90" i="4"/>
  <c r="T94" i="4"/>
  <c r="T98" i="4"/>
  <c r="T102" i="4"/>
  <c r="T106" i="4"/>
  <c r="T110" i="4"/>
  <c r="T114" i="4"/>
  <c r="T118" i="4"/>
  <c r="T122" i="4"/>
  <c r="T126" i="4"/>
  <c r="AC97" i="4"/>
  <c r="AC84" i="4"/>
  <c r="AC6" i="4"/>
  <c r="AC7" i="4"/>
  <c r="AC96" i="4"/>
  <c r="AC85" i="4"/>
  <c r="AC86" i="4"/>
  <c r="AC87" i="4"/>
  <c r="AC5"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8" i="4"/>
  <c r="AC10" i="4"/>
  <c r="AC98" i="4"/>
  <c r="AC9" i="4"/>
  <c r="AC11" i="4"/>
  <c r="AC63" i="4"/>
  <c r="AC64" i="4"/>
  <c r="AC65" i="4"/>
  <c r="AC66" i="4"/>
  <c r="AC67" i="4"/>
  <c r="AC68" i="4"/>
  <c r="AC69" i="4"/>
  <c r="AC70" i="4"/>
  <c r="AC71" i="4"/>
  <c r="AC72" i="4"/>
  <c r="AC73" i="4"/>
  <c r="AC74" i="4"/>
  <c r="AC75" i="4"/>
  <c r="AC76" i="4"/>
  <c r="AC77" i="4"/>
  <c r="AC78" i="4"/>
  <c r="AC79" i="4"/>
  <c r="AC80" i="4"/>
  <c r="AC81" i="4"/>
  <c r="AC82" i="4"/>
  <c r="AC83" i="4"/>
  <c r="AC88" i="4"/>
  <c r="AC89" i="4"/>
  <c r="AC90" i="4"/>
  <c r="AC91" i="4"/>
  <c r="AC92" i="4"/>
  <c r="AC93" i="4"/>
  <c r="AC94" i="4"/>
  <c r="AC95"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X109" i="4"/>
  <c r="X90" i="4"/>
  <c r="X68" i="4"/>
  <c r="X41" i="4"/>
  <c r="X120" i="4"/>
  <c r="X116" i="4"/>
  <c r="X65" i="4"/>
  <c r="X70" i="4"/>
  <c r="X78" i="4"/>
  <c r="X74" i="4"/>
  <c r="X87" i="4"/>
  <c r="X10" i="4"/>
  <c r="T127" i="4"/>
  <c r="T121" i="4"/>
  <c r="T116" i="4"/>
  <c r="T111" i="4"/>
  <c r="T105" i="4"/>
  <c r="T100" i="4"/>
  <c r="T95" i="4"/>
  <c r="T89" i="4"/>
  <c r="T84" i="4"/>
  <c r="T79" i="4"/>
  <c r="T73" i="4"/>
  <c r="T68" i="4"/>
  <c r="T63" i="4"/>
  <c r="T57" i="4"/>
  <c r="T52" i="4"/>
  <c r="T47" i="4"/>
  <c r="T41" i="4"/>
  <c r="T36" i="4"/>
  <c r="T31" i="4"/>
  <c r="T25" i="4"/>
  <c r="T20" i="4"/>
  <c r="T15" i="4"/>
  <c r="T9" i="4"/>
  <c r="V112" i="4"/>
  <c r="V86" i="4"/>
  <c r="V74" i="4"/>
  <c r="V81" i="4"/>
  <c r="V71" i="4"/>
  <c r="V115" i="4"/>
  <c r="V65" i="4"/>
  <c r="V66" i="4"/>
  <c r="V113" i="4"/>
  <c r="V96" i="4"/>
  <c r="V41" i="4"/>
  <c r="V117" i="4"/>
  <c r="V93" i="4"/>
  <c r="V99" i="4"/>
  <c r="V7" i="4"/>
  <c r="V51" i="4"/>
  <c r="V100" i="4"/>
  <c r="V124" i="4"/>
  <c r="V127" i="4"/>
  <c r="V15" i="4"/>
  <c r="V17" i="4"/>
  <c r="V103" i="4"/>
  <c r="V42" i="4"/>
  <c r="V19" i="4"/>
  <c r="Y129" i="4"/>
  <c r="Y121" i="4"/>
  <c r="Y113" i="4"/>
  <c r="Y105" i="4"/>
  <c r="Y97" i="4"/>
  <c r="Y89" i="4"/>
  <c r="Y81" i="4"/>
  <c r="Y73" i="4"/>
  <c r="Y65" i="4"/>
  <c r="Y57" i="4"/>
  <c r="Y49" i="4"/>
  <c r="Y41" i="4"/>
  <c r="Y33" i="4"/>
  <c r="Y25" i="4"/>
  <c r="Y17" i="4"/>
  <c r="T5" i="4"/>
  <c r="T124" i="4"/>
  <c r="T119" i="4"/>
  <c r="T113" i="4"/>
  <c r="T108" i="4"/>
  <c r="T103" i="4"/>
  <c r="T97" i="4"/>
  <c r="T92" i="4"/>
  <c r="T87" i="4"/>
  <c r="T81" i="4"/>
  <c r="T76" i="4"/>
  <c r="T71" i="4"/>
  <c r="T65" i="4"/>
  <c r="T60" i="4"/>
  <c r="T55" i="4"/>
  <c r="T49" i="4"/>
  <c r="T44" i="4"/>
  <c r="T39" i="4"/>
  <c r="T33" i="4"/>
  <c r="T28" i="4"/>
  <c r="T23" i="4"/>
  <c r="T17" i="4"/>
  <c r="T12" i="4"/>
  <c r="T7" i="4"/>
  <c r="X85" i="4"/>
  <c r="X88" i="4"/>
  <c r="X111" i="4"/>
  <c r="X82" i="4"/>
  <c r="X122" i="4"/>
  <c r="X76" i="4"/>
  <c r="X64" i="4"/>
  <c r="X63" i="4"/>
  <c r="X75" i="4"/>
  <c r="X126" i="4"/>
  <c r="X36" i="4"/>
  <c r="X94" i="4"/>
  <c r="X95" i="4"/>
  <c r="X129" i="4"/>
  <c r="X130" i="4"/>
  <c r="X16" i="4"/>
  <c r="X59" i="4"/>
  <c r="X48" i="4"/>
  <c r="X11" i="4"/>
  <c r="X104" i="4"/>
  <c r="X56" i="4"/>
  <c r="X131" i="4"/>
  <c r="Y8" i="4"/>
  <c r="Y12" i="4"/>
  <c r="Y16" i="4"/>
  <c r="Y20" i="4"/>
  <c r="Y24" i="4"/>
  <c r="Y28" i="4"/>
  <c r="Y32" i="4"/>
  <c r="Y36" i="4"/>
  <c r="Y40" i="4"/>
  <c r="Y44" i="4"/>
  <c r="Y48" i="4"/>
  <c r="Y52" i="4"/>
  <c r="Y56" i="4"/>
  <c r="Y60" i="4"/>
  <c r="Y64" i="4"/>
  <c r="Y68" i="4"/>
  <c r="Y72" i="4"/>
  <c r="Y76" i="4"/>
  <c r="Y80" i="4"/>
  <c r="Y84" i="4"/>
  <c r="Y88" i="4"/>
  <c r="Y92" i="4"/>
  <c r="Y96" i="4"/>
  <c r="Y100" i="4"/>
  <c r="Y104" i="4"/>
  <c r="Y108" i="4"/>
  <c r="Y112" i="4"/>
  <c r="Y116" i="4"/>
  <c r="Y120" i="4"/>
  <c r="Y124" i="4"/>
  <c r="Y128" i="4"/>
  <c r="Y10" i="4"/>
  <c r="Y14" i="4"/>
  <c r="Y18" i="4"/>
  <c r="Y22" i="4"/>
  <c r="Y26" i="4"/>
  <c r="Y30" i="4"/>
  <c r="Y34" i="4"/>
  <c r="Y38" i="4"/>
  <c r="Y42" i="4"/>
  <c r="Y46" i="4"/>
  <c r="Y50" i="4"/>
  <c r="Y54" i="4"/>
  <c r="Y58" i="4"/>
  <c r="Y62" i="4"/>
  <c r="Y66" i="4"/>
  <c r="Y70" i="4"/>
  <c r="Y74" i="4"/>
  <c r="Y78" i="4"/>
  <c r="Y82" i="4"/>
  <c r="Y86" i="4"/>
  <c r="Y90" i="4"/>
  <c r="Y94" i="4"/>
  <c r="Y98" i="4"/>
  <c r="Y102" i="4"/>
  <c r="Y106" i="4"/>
  <c r="Y110" i="4"/>
  <c r="Y114" i="4"/>
  <c r="Y118" i="4"/>
  <c r="Y122" i="4"/>
  <c r="Y126" i="4"/>
  <c r="Y130" i="4"/>
  <c r="Y5" i="4"/>
  <c r="AA6"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97" i="4"/>
  <c r="AA8" i="4"/>
  <c r="AA9" i="4"/>
  <c r="AA10" i="4"/>
  <c r="AA11" i="4"/>
  <c r="AA96" i="4"/>
  <c r="AA84" i="4"/>
  <c r="AA7" i="4"/>
  <c r="AA5" i="4"/>
  <c r="AA86" i="4"/>
  <c r="AB99" i="4"/>
  <c r="AB85" i="4"/>
  <c r="AB86" i="4"/>
  <c r="AB87" i="4"/>
  <c r="AB5" i="4"/>
  <c r="AB12" i="4"/>
  <c r="AB13" i="4"/>
  <c r="AB14" i="4"/>
  <c r="AB15" i="4"/>
  <c r="AB16" i="4"/>
  <c r="AB17" i="4"/>
  <c r="AB18" i="4"/>
  <c r="AB19" i="4"/>
  <c r="AB20" i="4"/>
  <c r="AB21" i="4"/>
  <c r="AB22" i="4"/>
  <c r="AB23" i="4"/>
  <c r="AB24" i="4"/>
  <c r="AB25" i="4"/>
  <c r="AB26" i="4"/>
  <c r="AB27" i="4"/>
  <c r="AB28" i="4"/>
  <c r="AB29" i="4"/>
  <c r="AB96" i="4"/>
  <c r="AB8" i="4"/>
  <c r="AB9" i="4"/>
  <c r="AB10" i="4"/>
  <c r="AB11" i="4"/>
  <c r="AD5" i="4"/>
  <c r="AD87" i="4"/>
  <c r="AD86" i="4"/>
  <c r="AD85" i="4"/>
  <c r="AD84" i="4"/>
  <c r="Q129" i="4"/>
  <c r="Q125" i="4"/>
  <c r="Q121" i="4"/>
  <c r="Q117" i="4"/>
  <c r="Q113" i="4"/>
  <c r="Q109" i="4"/>
  <c r="Q105" i="4"/>
  <c r="Q101" i="4"/>
  <c r="Q97" i="4"/>
  <c r="Q93" i="4"/>
  <c r="Q89" i="4"/>
  <c r="Q85" i="4"/>
  <c r="Q81" i="4"/>
  <c r="Q77" i="4"/>
  <c r="Q73" i="4"/>
  <c r="Q69" i="4"/>
  <c r="Q65" i="4"/>
  <c r="Q61" i="4"/>
  <c r="Q57" i="4"/>
  <c r="Q53" i="4"/>
  <c r="Q49" i="4"/>
  <c r="Q45" i="4"/>
  <c r="Q41" i="4"/>
  <c r="Q37" i="4"/>
  <c r="Q33" i="4"/>
  <c r="Q29" i="4"/>
  <c r="Q25" i="4"/>
  <c r="Q21" i="4"/>
  <c r="Q17" i="4"/>
  <c r="Q13" i="4"/>
  <c r="Q7" i="4"/>
  <c r="Q10" i="4"/>
  <c r="AD97" i="4"/>
  <c r="AD11" i="4"/>
  <c r="AD10" i="4"/>
  <c r="AD9" i="4"/>
  <c r="Q107" i="4"/>
  <c r="Q103" i="4"/>
  <c r="Q99" i="4"/>
  <c r="Q95" i="4"/>
  <c r="Q91" i="4"/>
  <c r="Q87" i="4"/>
  <c r="Q83" i="4"/>
  <c r="Q79" i="4"/>
  <c r="Q75" i="4"/>
  <c r="Q71" i="4"/>
  <c r="Q67" i="4"/>
  <c r="Q63" i="4"/>
  <c r="Q59" i="4"/>
  <c r="Q55" i="4"/>
  <c r="Q51" i="4"/>
  <c r="Q47" i="4"/>
  <c r="Q43" i="4"/>
  <c r="Q39" i="4"/>
  <c r="Q35" i="4"/>
  <c r="Q31" i="4"/>
  <c r="Q27" i="4"/>
  <c r="Q23" i="4"/>
  <c r="Q19" i="4"/>
  <c r="Q15" i="4"/>
  <c r="Q9" i="4"/>
  <c r="U25" i="1" l="1"/>
  <c r="Y29" i="1" s="1"/>
  <c r="U58" i="1"/>
  <c r="Y61" i="1" s="1"/>
  <c r="AA57" i="1"/>
  <c r="W60" i="1"/>
  <c r="U23" i="1"/>
  <c r="U24" i="1"/>
  <c r="Z38" i="1"/>
  <c r="W40" i="1"/>
  <c r="U27" i="1"/>
  <c r="AA29" i="1" s="1"/>
  <c r="W117" i="10"/>
  <c r="V117" i="10"/>
  <c r="U118" i="10"/>
  <c r="W118" i="10"/>
  <c r="Z48" i="1"/>
  <c r="W50" i="1"/>
  <c r="Z120" i="10"/>
  <c r="AC120" i="10" s="1"/>
  <c r="AA119" i="10"/>
  <c r="AB119" i="10"/>
  <c r="W29" i="1"/>
  <c r="X29" i="1"/>
  <c r="R1" i="4"/>
  <c r="R135" i="4" s="1"/>
  <c r="U1" i="4"/>
  <c r="U76" i="4" s="1"/>
  <c r="Z1" i="4"/>
  <c r="Z54" i="4" s="1"/>
  <c r="R80" i="4"/>
  <c r="R62" i="4"/>
  <c r="R42" i="4"/>
  <c r="R87" i="4"/>
  <c r="Z33" i="4"/>
  <c r="U111" i="4"/>
  <c r="U118" i="4"/>
  <c r="R129" i="4"/>
  <c r="Z8" i="4"/>
  <c r="R63" i="4"/>
  <c r="R95" i="4"/>
  <c r="R53" i="4"/>
  <c r="R85" i="4"/>
  <c r="R117" i="4"/>
  <c r="Z82" i="4"/>
  <c r="Z68" i="4"/>
  <c r="Z17" i="4"/>
  <c r="U100" i="4"/>
  <c r="U78" i="4"/>
  <c r="U14" i="4"/>
  <c r="R49" i="4"/>
  <c r="R97" i="4"/>
  <c r="U124" i="4"/>
  <c r="U114" i="4"/>
  <c r="R35" i="4"/>
  <c r="R67" i="4"/>
  <c r="R99" i="4"/>
  <c r="R7" i="4"/>
  <c r="R57" i="4"/>
  <c r="R73" i="4"/>
  <c r="R105" i="4"/>
  <c r="R121" i="4"/>
  <c r="Z78" i="4"/>
  <c r="Z14" i="4"/>
  <c r="Z16" i="4"/>
  <c r="U49" i="4"/>
  <c r="Z57" i="4"/>
  <c r="U41" i="4"/>
  <c r="U127" i="4"/>
  <c r="U74" i="4"/>
  <c r="U10" i="4"/>
  <c r="P9" i="12"/>
  <c r="Z89" i="4" l="1"/>
  <c r="R89" i="4"/>
  <c r="R51" i="4"/>
  <c r="R21" i="4"/>
  <c r="Z44" i="4"/>
  <c r="R109" i="4"/>
  <c r="R8" i="4"/>
  <c r="R31" i="4"/>
  <c r="R33" i="4"/>
  <c r="R41" i="4"/>
  <c r="R91" i="4"/>
  <c r="Z80" i="4"/>
  <c r="R25" i="4"/>
  <c r="Z38" i="4"/>
  <c r="R43" i="4"/>
  <c r="R59" i="4"/>
  <c r="AE59" i="4" s="1"/>
  <c r="U56" i="1"/>
  <c r="U57" i="1"/>
  <c r="X61" i="1" s="1"/>
  <c r="U59" i="1"/>
  <c r="Z61" i="1" s="1"/>
  <c r="U15" i="4"/>
  <c r="U87" i="4"/>
  <c r="U130" i="4"/>
  <c r="R119" i="4"/>
  <c r="AB29" i="1"/>
  <c r="AB30" i="1" s="1"/>
  <c r="V28" i="1" s="1"/>
  <c r="AB120" i="10"/>
  <c r="AC121" i="10"/>
  <c r="Z121" i="10"/>
  <c r="AA120" i="10"/>
  <c r="U119" i="10"/>
  <c r="V118" i="10"/>
  <c r="U48" i="1"/>
  <c r="X51" i="1" s="1"/>
  <c r="U49" i="1"/>
  <c r="Y51" i="1" s="1"/>
  <c r="U47" i="1"/>
  <c r="U38" i="1"/>
  <c r="X41" i="1" s="1"/>
  <c r="U39" i="1"/>
  <c r="Y41" i="1" s="1"/>
  <c r="U37" i="1"/>
  <c r="AE43" i="4" s="1"/>
  <c r="Z90" i="4"/>
  <c r="R23" i="4"/>
  <c r="R102" i="4"/>
  <c r="R22" i="4"/>
  <c r="R114" i="4"/>
  <c r="AE114" i="4" s="1"/>
  <c r="R68" i="4"/>
  <c r="R45" i="4"/>
  <c r="R65" i="4"/>
  <c r="R14" i="4"/>
  <c r="R124" i="4"/>
  <c r="R92" i="4"/>
  <c r="R32" i="4"/>
  <c r="R131" i="4"/>
  <c r="R106" i="4"/>
  <c r="R98" i="4"/>
  <c r="R69" i="4"/>
  <c r="R10" i="4"/>
  <c r="R47" i="4"/>
  <c r="Z102" i="4"/>
  <c r="AH102" i="4" s="1"/>
  <c r="R107" i="4"/>
  <c r="R125" i="4"/>
  <c r="R103" i="4"/>
  <c r="R70" i="4"/>
  <c r="R50" i="4"/>
  <c r="R5" i="4"/>
  <c r="R127" i="4"/>
  <c r="R115" i="4"/>
  <c r="R96" i="4"/>
  <c r="R72" i="4"/>
  <c r="AE72" i="4" s="1"/>
  <c r="R36" i="4"/>
  <c r="AE121" i="4"/>
  <c r="Z18" i="4"/>
  <c r="R101" i="4"/>
  <c r="AE101" i="4" s="1"/>
  <c r="R37" i="4"/>
  <c r="R79" i="4"/>
  <c r="AE79" i="4" s="1"/>
  <c r="R15" i="4"/>
  <c r="R81" i="4"/>
  <c r="AE81" i="4" s="1"/>
  <c r="R9" i="4"/>
  <c r="Z10" i="4"/>
  <c r="R61" i="4"/>
  <c r="R39" i="4"/>
  <c r="R17" i="4"/>
  <c r="R30" i="4"/>
  <c r="AE30" i="4" s="1"/>
  <c r="R110" i="4"/>
  <c r="R126" i="4"/>
  <c r="AE126" i="4" s="1"/>
  <c r="R120" i="4"/>
  <c r="R108" i="4"/>
  <c r="R82" i="4"/>
  <c r="R11" i="4"/>
  <c r="R133" i="4"/>
  <c r="R52" i="4"/>
  <c r="AE52" i="4" s="1"/>
  <c r="R20" i="4"/>
  <c r="R48" i="4"/>
  <c r="R16" i="4"/>
  <c r="AE65" i="4"/>
  <c r="AE68" i="4"/>
  <c r="AE53" i="4"/>
  <c r="U52" i="4"/>
  <c r="U54" i="4"/>
  <c r="AF54" i="4" s="1"/>
  <c r="R134" i="4"/>
  <c r="AE135" i="4"/>
  <c r="U134" i="4"/>
  <c r="U135" i="4"/>
  <c r="AE21" i="4"/>
  <c r="AE32" i="4"/>
  <c r="AE117" i="4"/>
  <c r="Z64" i="4"/>
  <c r="AH64" i="4" s="1"/>
  <c r="Z128" i="4"/>
  <c r="Z62" i="4"/>
  <c r="Z126" i="4"/>
  <c r="Z41" i="4"/>
  <c r="AH41" i="4" s="1"/>
  <c r="Z120" i="4"/>
  <c r="Z49" i="4"/>
  <c r="AH49" i="4" s="1"/>
  <c r="Z52" i="4"/>
  <c r="Z116" i="4"/>
  <c r="Z66" i="4"/>
  <c r="Z130" i="4"/>
  <c r="Z73" i="4"/>
  <c r="AH73" i="4" s="1"/>
  <c r="Z22" i="4"/>
  <c r="AH22" i="4" s="1"/>
  <c r="Z65" i="4"/>
  <c r="AH65" i="4" s="1"/>
  <c r="Z28" i="4"/>
  <c r="Z108" i="4"/>
  <c r="Z74" i="4"/>
  <c r="AH74" i="4" s="1"/>
  <c r="Z88" i="4"/>
  <c r="Z25" i="4"/>
  <c r="Z32" i="4"/>
  <c r="Z96" i="4"/>
  <c r="Z30" i="4"/>
  <c r="Z94" i="4"/>
  <c r="AH94" i="4" s="1"/>
  <c r="Z24" i="4"/>
  <c r="AH24" i="4" s="1"/>
  <c r="Z70" i="4"/>
  <c r="AH70" i="4" s="1"/>
  <c r="Z113" i="4"/>
  <c r="AH113" i="4" s="1"/>
  <c r="Z20" i="4"/>
  <c r="AH20" i="4" s="1"/>
  <c r="Z84" i="4"/>
  <c r="Z34" i="4"/>
  <c r="AH34" i="4" s="1"/>
  <c r="Z98" i="4"/>
  <c r="Z56" i="4"/>
  <c r="AH56" i="4" s="1"/>
  <c r="Z76" i="4"/>
  <c r="AH76" i="4" s="1"/>
  <c r="Z26" i="4"/>
  <c r="AH26" i="4" s="1"/>
  <c r="Z106" i="4"/>
  <c r="Z121" i="4"/>
  <c r="AH121" i="4" s="1"/>
  <c r="Z48" i="4"/>
  <c r="Z112" i="4"/>
  <c r="AH112" i="4" s="1"/>
  <c r="Z46" i="4"/>
  <c r="Z110" i="4"/>
  <c r="Z72" i="4"/>
  <c r="AH72" i="4" s="1"/>
  <c r="Z118" i="4"/>
  <c r="AH118" i="4" s="1"/>
  <c r="Z81" i="4"/>
  <c r="Z36" i="4"/>
  <c r="AH36" i="4" s="1"/>
  <c r="Z100" i="4"/>
  <c r="AH100" i="4" s="1"/>
  <c r="Z50" i="4"/>
  <c r="Z114" i="4"/>
  <c r="Z104" i="4"/>
  <c r="Z129" i="4"/>
  <c r="AH129" i="4" s="1"/>
  <c r="Z12" i="4"/>
  <c r="AH12" i="4" s="1"/>
  <c r="Z92" i="4"/>
  <c r="AH92" i="4" s="1"/>
  <c r="Z42" i="4"/>
  <c r="AH42" i="4" s="1"/>
  <c r="L115" i="10"/>
  <c r="L121" i="10" s="1"/>
  <c r="AE63" i="4"/>
  <c r="AE16" i="4"/>
  <c r="R93" i="4"/>
  <c r="R29" i="4"/>
  <c r="AE127" i="4" s="1"/>
  <c r="R71" i="4"/>
  <c r="R83" i="4"/>
  <c r="R75" i="4"/>
  <c r="AE36" i="4" s="1"/>
  <c r="R12" i="4"/>
  <c r="AE91" i="4" s="1"/>
  <c r="R34" i="4"/>
  <c r="R94" i="4"/>
  <c r="R46" i="4"/>
  <c r="R26" i="4"/>
  <c r="AE96" i="4" s="1"/>
  <c r="R54" i="4"/>
  <c r="R130" i="4"/>
  <c r="R123" i="4"/>
  <c r="AE42" i="4" s="1"/>
  <c r="R118" i="4"/>
  <c r="R112" i="4"/>
  <c r="AE5" i="4" s="1"/>
  <c r="R104" i="4"/>
  <c r="R90" i="4"/>
  <c r="R76" i="4"/>
  <c r="R66" i="4"/>
  <c r="AE39" i="4" s="1"/>
  <c r="R60" i="4"/>
  <c r="R44" i="4"/>
  <c r="R28" i="4"/>
  <c r="R6" i="4"/>
  <c r="R132" i="4"/>
  <c r="AE23" i="4"/>
  <c r="AE92" i="4"/>
  <c r="AE131" i="4"/>
  <c r="AE9" i="4"/>
  <c r="AE98" i="4"/>
  <c r="R77" i="4"/>
  <c r="R13" i="4"/>
  <c r="AE73" i="4" s="1"/>
  <c r="R55" i="4"/>
  <c r="R19" i="4"/>
  <c r="R113" i="4"/>
  <c r="AE113" i="4" s="1"/>
  <c r="R27" i="4"/>
  <c r="R38" i="4"/>
  <c r="R84" i="4"/>
  <c r="R18" i="4"/>
  <c r="R78" i="4"/>
  <c r="AE14" i="4" s="1"/>
  <c r="R58" i="4"/>
  <c r="R86" i="4"/>
  <c r="R128" i="4"/>
  <c r="R122" i="4"/>
  <c r="R116" i="4"/>
  <c r="AE22" i="4" s="1"/>
  <c r="R111" i="4"/>
  <c r="AE111" i="4" s="1"/>
  <c r="R100" i="4"/>
  <c r="AE69" i="4" s="1"/>
  <c r="R88" i="4"/>
  <c r="AE88" i="4" s="1"/>
  <c r="R74" i="4"/>
  <c r="AE20" i="4" s="1"/>
  <c r="R64" i="4"/>
  <c r="R56" i="4"/>
  <c r="R40" i="4"/>
  <c r="R24" i="4"/>
  <c r="AE107" i="4"/>
  <c r="AE11" i="4"/>
  <c r="U25" i="4"/>
  <c r="Z97" i="4"/>
  <c r="AH97" i="4" s="1"/>
  <c r="Z60" i="4"/>
  <c r="Z124" i="4"/>
  <c r="Z58" i="4"/>
  <c r="Z122" i="4"/>
  <c r="AH122" i="4" s="1"/>
  <c r="AE51" i="4"/>
  <c r="AE97" i="4"/>
  <c r="AE109" i="4"/>
  <c r="U5" i="4"/>
  <c r="U133" i="4"/>
  <c r="U132" i="4"/>
  <c r="Z86" i="4"/>
  <c r="Z132" i="4"/>
  <c r="Z133" i="4"/>
  <c r="Z135" i="4"/>
  <c r="Z134" i="4"/>
  <c r="AF14" i="4"/>
  <c r="AF78" i="4"/>
  <c r="AE70" i="4"/>
  <c r="AE67" i="4"/>
  <c r="L119" i="10"/>
  <c r="U26" i="4"/>
  <c r="U90" i="4"/>
  <c r="U105" i="4"/>
  <c r="AF111" i="4" s="1"/>
  <c r="U20" i="4"/>
  <c r="AH89" i="4"/>
  <c r="U113" i="4"/>
  <c r="U28" i="4"/>
  <c r="AE25" i="4"/>
  <c r="U95" i="4"/>
  <c r="U60" i="4"/>
  <c r="AH38" i="4"/>
  <c r="AE105" i="4"/>
  <c r="U30" i="4"/>
  <c r="U94" i="4"/>
  <c r="U79" i="4"/>
  <c r="U65" i="4"/>
  <c r="AE110" i="4"/>
  <c r="AE89" i="4"/>
  <c r="U9" i="4"/>
  <c r="U103" i="4"/>
  <c r="AE50" i="4"/>
  <c r="U6" i="4"/>
  <c r="U70" i="4"/>
  <c r="U89" i="4"/>
  <c r="U55" i="4"/>
  <c r="AH90" i="4"/>
  <c r="U98" i="4"/>
  <c r="Z40" i="4"/>
  <c r="AE120" i="4"/>
  <c r="AF49" i="4"/>
  <c r="AH18" i="4"/>
  <c r="AH82" i="4"/>
  <c r="AF76" i="4"/>
  <c r="AH10" i="4"/>
  <c r="U91" i="4"/>
  <c r="AF74" i="4" s="1"/>
  <c r="U32" i="4"/>
  <c r="U123" i="4"/>
  <c r="U67" i="4"/>
  <c r="U13" i="4"/>
  <c r="U112" i="4"/>
  <c r="U37" i="4"/>
  <c r="U27" i="4"/>
  <c r="U21" i="4"/>
  <c r="U35" i="4"/>
  <c r="AF114" i="4" s="1"/>
  <c r="U93" i="4"/>
  <c r="U128" i="4"/>
  <c r="U53" i="4"/>
  <c r="U72" i="4"/>
  <c r="U29" i="4"/>
  <c r="U69" i="4"/>
  <c r="U131" i="4"/>
  <c r="U88" i="4"/>
  <c r="U24" i="4"/>
  <c r="U64" i="4"/>
  <c r="U11" i="4"/>
  <c r="U101" i="4"/>
  <c r="U109" i="4"/>
  <c r="U56" i="4"/>
  <c r="U85" i="4"/>
  <c r="U83" i="4"/>
  <c r="AF10" i="4" s="1"/>
  <c r="U117" i="4"/>
  <c r="AF41" i="4" s="1"/>
  <c r="U43" i="4"/>
  <c r="U125" i="4"/>
  <c r="U61" i="4"/>
  <c r="U19" i="4"/>
  <c r="U120" i="4"/>
  <c r="AF52" i="4" s="1"/>
  <c r="U77" i="4"/>
  <c r="U59" i="4"/>
  <c r="U96" i="4"/>
  <c r="U104" i="4"/>
  <c r="U40" i="4"/>
  <c r="U80" i="4"/>
  <c r="AF15" i="4" s="1"/>
  <c r="U99" i="4"/>
  <c r="U45" i="4"/>
  <c r="U75" i="4"/>
  <c r="U16" i="4"/>
  <c r="U8" i="4"/>
  <c r="U107" i="4"/>
  <c r="U115" i="4"/>
  <c r="U51" i="4"/>
  <c r="U48" i="4"/>
  <c r="U17" i="4"/>
  <c r="AH54" i="4"/>
  <c r="U42" i="4"/>
  <c r="U106" i="4"/>
  <c r="U84" i="4"/>
  <c r="AH57" i="4"/>
  <c r="U92" i="4"/>
  <c r="U7" i="4"/>
  <c r="U31" i="4"/>
  <c r="AE61" i="4"/>
  <c r="U46" i="4"/>
  <c r="U110" i="4"/>
  <c r="U57" i="4"/>
  <c r="AH17" i="4"/>
  <c r="U129" i="4"/>
  <c r="U44" i="4"/>
  <c r="AF100" i="4" s="1"/>
  <c r="AH116" i="4"/>
  <c r="U34" i="4"/>
  <c r="U39" i="4"/>
  <c r="AE33" i="4"/>
  <c r="AE95" i="4"/>
  <c r="AE85" i="4"/>
  <c r="U22" i="4"/>
  <c r="U86" i="4"/>
  <c r="U68" i="4"/>
  <c r="AH33" i="4"/>
  <c r="U119" i="4"/>
  <c r="U33" i="4"/>
  <c r="AH44" i="4"/>
  <c r="Z53" i="4"/>
  <c r="Z101" i="4"/>
  <c r="Z29" i="4"/>
  <c r="Z123" i="4"/>
  <c r="Z109" i="4"/>
  <c r="Z37" i="4"/>
  <c r="Z59" i="4"/>
  <c r="Z27" i="4"/>
  <c r="Z131" i="4"/>
  <c r="Z21" i="4"/>
  <c r="Z35" i="4"/>
  <c r="Z83" i="4"/>
  <c r="Z63" i="4"/>
  <c r="Z67" i="4"/>
  <c r="Z45" i="4"/>
  <c r="Z61" i="4"/>
  <c r="Z77" i="4"/>
  <c r="Z91" i="4"/>
  <c r="Z11" i="4"/>
  <c r="Z95" i="4"/>
  <c r="Z31" i="4"/>
  <c r="Z125" i="4"/>
  <c r="Z7" i="4"/>
  <c r="Z69" i="4"/>
  <c r="Z87" i="4"/>
  <c r="Z99" i="4"/>
  <c r="Z93" i="4"/>
  <c r="Z127" i="4"/>
  <c r="Z111" i="4"/>
  <c r="Z15" i="4"/>
  <c r="Z85" i="4"/>
  <c r="Z103" i="4"/>
  <c r="Z47" i="4"/>
  <c r="Z55" i="4"/>
  <c r="Z51" i="4"/>
  <c r="Z13" i="4"/>
  <c r="Z75" i="4"/>
  <c r="Z71" i="4"/>
  <c r="Z107" i="4"/>
  <c r="Z43" i="4"/>
  <c r="Z39" i="4"/>
  <c r="Z79" i="4"/>
  <c r="Z9" i="4"/>
  <c r="Z119" i="4"/>
  <c r="Z115" i="4"/>
  <c r="Z117" i="4"/>
  <c r="Z23" i="4"/>
  <c r="Z19" i="4"/>
  <c r="AF127" i="4"/>
  <c r="AE41" i="4"/>
  <c r="AF130" i="4"/>
  <c r="U66" i="4"/>
  <c r="U73" i="4"/>
  <c r="U58" i="4"/>
  <c r="U122" i="4"/>
  <c r="U63" i="4"/>
  <c r="U71" i="4"/>
  <c r="AH16" i="4"/>
  <c r="AH80" i="4"/>
  <c r="AH14" i="4"/>
  <c r="AH78" i="4"/>
  <c r="AE99" i="4"/>
  <c r="U50" i="4"/>
  <c r="U62" i="4"/>
  <c r="AF124" i="4" s="1"/>
  <c r="U126" i="4"/>
  <c r="U121" i="4"/>
  <c r="U36" i="4"/>
  <c r="U108" i="4"/>
  <c r="U23" i="4"/>
  <c r="AH68" i="4"/>
  <c r="U82" i="4"/>
  <c r="U116" i="4"/>
  <c r="AH8" i="4"/>
  <c r="U38" i="4"/>
  <c r="U102" i="4"/>
  <c r="U47" i="4"/>
  <c r="U97" i="4"/>
  <c r="U12" i="4"/>
  <c r="AE77" i="4"/>
  <c r="U18" i="4"/>
  <c r="Z105" i="4"/>
  <c r="U81" i="4"/>
  <c r="Z6" i="4"/>
  <c r="Z5" i="4"/>
  <c r="P15" i="12"/>
  <c r="P7" i="12"/>
  <c r="P11" i="12"/>
  <c r="H18" i="12"/>
  <c r="I18" i="12"/>
  <c r="K18" i="12"/>
  <c r="P10" i="12"/>
  <c r="P4" i="12"/>
  <c r="P5" i="12"/>
  <c r="L116" i="10"/>
  <c r="P20" i="12"/>
  <c r="M18" i="12"/>
  <c r="C18" i="12"/>
  <c r="F18" i="12"/>
  <c r="P16" i="12"/>
  <c r="P12" i="12"/>
  <c r="J18" i="12"/>
  <c r="P18" i="12"/>
  <c r="P14" i="12"/>
  <c r="L118" i="10"/>
  <c r="E18" i="12"/>
  <c r="G18" i="12"/>
  <c r="L117" i="10"/>
  <c r="P6" i="12"/>
  <c r="R18" i="12"/>
  <c r="D18" i="12"/>
  <c r="P13" i="12"/>
  <c r="B18" i="12"/>
  <c r="P8" i="12"/>
  <c r="L18" i="12"/>
  <c r="AE45" i="4" l="1"/>
  <c r="AE35" i="4"/>
  <c r="W61" i="1"/>
  <c r="AA61" i="1" s="1"/>
  <c r="AA62" i="1" s="1"/>
  <c r="V60" i="1" s="1"/>
  <c r="AI61" i="4"/>
  <c r="AI130" i="4"/>
  <c r="AI111" i="4"/>
  <c r="AI135" i="4"/>
  <c r="AI74" i="4"/>
  <c r="AI122" i="4"/>
  <c r="AI11" i="4"/>
  <c r="AI99" i="4"/>
  <c r="AI27" i="4"/>
  <c r="AI112" i="4"/>
  <c r="AI88" i="4"/>
  <c r="AI33" i="4"/>
  <c r="AI76" i="4"/>
  <c r="AI22" i="4"/>
  <c r="AI87" i="4"/>
  <c r="AI36" i="4"/>
  <c r="AI56" i="4"/>
  <c r="AI80" i="4"/>
  <c r="AI75" i="4"/>
  <c r="AI89" i="4"/>
  <c r="AI106" i="4"/>
  <c r="AI31" i="4"/>
  <c r="AI127" i="4"/>
  <c r="AI133" i="4"/>
  <c r="AI51" i="4"/>
  <c r="AI72" i="4"/>
  <c r="AI67" i="4"/>
  <c r="AI42" i="4"/>
  <c r="AI96" i="4"/>
  <c r="AI23" i="4"/>
  <c r="AI116" i="4"/>
  <c r="AI63" i="4"/>
  <c r="AI77" i="4"/>
  <c r="AI62" i="4"/>
  <c r="AI29" i="4"/>
  <c r="AI86" i="4"/>
  <c r="AI32" i="4"/>
  <c r="AI54" i="4"/>
  <c r="AI28" i="4"/>
  <c r="AI59" i="4"/>
  <c r="AI123" i="4"/>
  <c r="AI53" i="4"/>
  <c r="AI50" i="4"/>
  <c r="AI78" i="4"/>
  <c r="AI94" i="4"/>
  <c r="AI18" i="4"/>
  <c r="AI15" i="4"/>
  <c r="AI70" i="4"/>
  <c r="AI21" i="4"/>
  <c r="AI24" i="4"/>
  <c r="AI134" i="4"/>
  <c r="AI68" i="4"/>
  <c r="AI98" i="4"/>
  <c r="AI55" i="4"/>
  <c r="AI114" i="4"/>
  <c r="AI92" i="4"/>
  <c r="AI52" i="4"/>
  <c r="AI66" i="4"/>
  <c r="AI30" i="4"/>
  <c r="AI8" i="4"/>
  <c r="AI19" i="4"/>
  <c r="AI120" i="4"/>
  <c r="AI79" i="4"/>
  <c r="AI7" i="4"/>
  <c r="AI25" i="4"/>
  <c r="AI107" i="4"/>
  <c r="AI110" i="4"/>
  <c r="AI47" i="4"/>
  <c r="AI124" i="4"/>
  <c r="AI10" i="4"/>
  <c r="AI84" i="4"/>
  <c r="AI109" i="4"/>
  <c r="AI125" i="4"/>
  <c r="AI58" i="4"/>
  <c r="AI108" i="4"/>
  <c r="AI14" i="4"/>
  <c r="AI37" i="4"/>
  <c r="AI34" i="4"/>
  <c r="AI64" i="4"/>
  <c r="AI119" i="4"/>
  <c r="AI129" i="4"/>
  <c r="AI115" i="4"/>
  <c r="AI105" i="4"/>
  <c r="AI126" i="4"/>
  <c r="AI43" i="4"/>
  <c r="AI6" i="4"/>
  <c r="AI128" i="4"/>
  <c r="AI90" i="4"/>
  <c r="AI97" i="4"/>
  <c r="AI49" i="4"/>
  <c r="AI17" i="4"/>
  <c r="AI71" i="4"/>
  <c r="AI9" i="4"/>
  <c r="AI20" i="4"/>
  <c r="AI95" i="4"/>
  <c r="AI44" i="4"/>
  <c r="AI103" i="4"/>
  <c r="AI121" i="4"/>
  <c r="AI131" i="4"/>
  <c r="AI113" i="4"/>
  <c r="AI102" i="4"/>
  <c r="AI82" i="4"/>
  <c r="AI39" i="4"/>
  <c r="AI100" i="4"/>
  <c r="AI73" i="4"/>
  <c r="AI38" i="4"/>
  <c r="AI45" i="4"/>
  <c r="AI13" i="4"/>
  <c r="AI91" i="4"/>
  <c r="AI85" i="4"/>
  <c r="AI48" i="4"/>
  <c r="AI16" i="4"/>
  <c r="AI69" i="4"/>
  <c r="AI57" i="4"/>
  <c r="AI101" i="4"/>
  <c r="AI132" i="4"/>
  <c r="AI117" i="4"/>
  <c r="AI118" i="4"/>
  <c r="AI60" i="4"/>
  <c r="AI5" i="4"/>
  <c r="AI35" i="4"/>
  <c r="AI104" i="4"/>
  <c r="AI93" i="4"/>
  <c r="AI26" i="4"/>
  <c r="AI41" i="4"/>
  <c r="AI65" i="4"/>
  <c r="AI46" i="4"/>
  <c r="AI12" i="4"/>
  <c r="AI83" i="4"/>
  <c r="AI81" i="4"/>
  <c r="AI40" i="4"/>
  <c r="AG102" i="4"/>
  <c r="AG134" i="4"/>
  <c r="AG106" i="4"/>
  <c r="AG107" i="4"/>
  <c r="AG128" i="4"/>
  <c r="AG77" i="4"/>
  <c r="AG45" i="4"/>
  <c r="AG91" i="4"/>
  <c r="AG97" i="4"/>
  <c r="AG47" i="4"/>
  <c r="AG27" i="4"/>
  <c r="AG118" i="4"/>
  <c r="AG121" i="4"/>
  <c r="AG80" i="4"/>
  <c r="AG21" i="4"/>
  <c r="AG79" i="4"/>
  <c r="AG55" i="4"/>
  <c r="AG135" i="4"/>
  <c r="AG73" i="4"/>
  <c r="AG125" i="4"/>
  <c r="AG46" i="4"/>
  <c r="AG114" i="4"/>
  <c r="AG119" i="4"/>
  <c r="AG105" i="4"/>
  <c r="AG37" i="4"/>
  <c r="AG123" i="4"/>
  <c r="AG25" i="4"/>
  <c r="AG24" i="4"/>
  <c r="AG133" i="4"/>
  <c r="AG28" i="4"/>
  <c r="AG108" i="4"/>
  <c r="AG54" i="4"/>
  <c r="AG101" i="4"/>
  <c r="AG23" i="4"/>
  <c r="AG98" i="4"/>
  <c r="AG132" i="4"/>
  <c r="AG53" i="4"/>
  <c r="AG60" i="4"/>
  <c r="AG49" i="4"/>
  <c r="AG9" i="4"/>
  <c r="AG52" i="4"/>
  <c r="AG67" i="4"/>
  <c r="AG31" i="4"/>
  <c r="AG56" i="4"/>
  <c r="AG5" i="4"/>
  <c r="AG10" i="4"/>
  <c r="AG38" i="4"/>
  <c r="AG18" i="4"/>
  <c r="AG57" i="4"/>
  <c r="AG40" i="4"/>
  <c r="AG29" i="4"/>
  <c r="AG68" i="4"/>
  <c r="AG30" i="4"/>
  <c r="AG6" i="4"/>
  <c r="AG82" i="4"/>
  <c r="AG100" i="4"/>
  <c r="AG112" i="4"/>
  <c r="AG131" i="4"/>
  <c r="AG117" i="4"/>
  <c r="AG42" i="4"/>
  <c r="AG65" i="4"/>
  <c r="AG76" i="4"/>
  <c r="AG19" i="4"/>
  <c r="AG96" i="4"/>
  <c r="AG103" i="4"/>
  <c r="AG99" i="4"/>
  <c r="AG14" i="4"/>
  <c r="AJ14" i="4" s="1"/>
  <c r="AG75" i="4"/>
  <c r="AG109" i="4"/>
  <c r="AG63" i="4"/>
  <c r="AG87" i="4"/>
  <c r="AG11" i="4"/>
  <c r="AG48" i="4"/>
  <c r="AG44" i="4"/>
  <c r="AG32" i="4"/>
  <c r="AG33" i="4"/>
  <c r="AG8" i="4"/>
  <c r="AG26" i="4"/>
  <c r="AG34" i="4"/>
  <c r="AG62" i="4"/>
  <c r="AG94" i="4"/>
  <c r="AG93" i="4"/>
  <c r="AG88" i="4"/>
  <c r="AG120" i="4"/>
  <c r="AG127" i="4"/>
  <c r="AG74" i="4"/>
  <c r="AG129" i="4"/>
  <c r="AG66" i="4"/>
  <c r="AG115" i="4"/>
  <c r="AG81" i="4"/>
  <c r="AG41" i="4"/>
  <c r="AG12" i="4"/>
  <c r="AG95" i="4"/>
  <c r="AG89" i="4"/>
  <c r="AG70" i="4"/>
  <c r="AG59" i="4"/>
  <c r="AG130" i="4"/>
  <c r="AG35" i="4"/>
  <c r="AG50" i="4"/>
  <c r="AG110" i="4"/>
  <c r="AG20" i="4"/>
  <c r="AG83" i="4"/>
  <c r="AG78" i="4"/>
  <c r="AG51" i="4"/>
  <c r="AG113" i="4"/>
  <c r="AG16" i="4"/>
  <c r="AG126" i="4"/>
  <c r="AG7" i="4"/>
  <c r="AG111" i="4"/>
  <c r="AG124" i="4"/>
  <c r="AG86" i="4"/>
  <c r="AG69" i="4"/>
  <c r="AG90" i="4"/>
  <c r="AG122" i="4"/>
  <c r="AG39" i="4"/>
  <c r="AG58" i="4"/>
  <c r="AG43" i="4"/>
  <c r="AG85" i="4"/>
  <c r="AG64" i="4"/>
  <c r="AG36" i="4"/>
  <c r="AG72" i="4"/>
  <c r="AG22" i="4"/>
  <c r="AG84" i="4"/>
  <c r="AG13" i="4"/>
  <c r="AG92" i="4"/>
  <c r="AG61" i="4"/>
  <c r="AG104" i="4"/>
  <c r="AG116" i="4"/>
  <c r="AG17" i="4"/>
  <c r="AG71" i="4"/>
  <c r="AG15" i="4"/>
  <c r="V119" i="10"/>
  <c r="U120" i="10"/>
  <c r="W120" i="10"/>
  <c r="AE119" i="4"/>
  <c r="AE129" i="4"/>
  <c r="AE15" i="4"/>
  <c r="AE87" i="4"/>
  <c r="W41" i="1"/>
  <c r="Z41" i="1" s="1"/>
  <c r="Z42" i="1" s="1"/>
  <c r="V40" i="1" s="1"/>
  <c r="W51" i="1"/>
  <c r="Z51" i="1" s="1"/>
  <c r="Z52" i="1" s="1"/>
  <c r="V50" i="1" s="1"/>
  <c r="AE48" i="4"/>
  <c r="W119" i="10"/>
  <c r="AE106" i="4"/>
  <c r="AE124" i="4"/>
  <c r="AE31" i="4"/>
  <c r="AA121" i="10"/>
  <c r="Z122" i="10"/>
  <c r="AC122" i="10" s="1"/>
  <c r="AB121" i="10"/>
  <c r="AE82" i="4"/>
  <c r="AE115" i="4"/>
  <c r="AE37" i="4"/>
  <c r="AE125" i="4"/>
  <c r="AE62" i="4"/>
  <c r="AE64" i="4"/>
  <c r="AE17" i="4"/>
  <c r="AE103" i="4"/>
  <c r="AE108" i="4"/>
  <c r="AE56" i="4"/>
  <c r="AF118" i="4"/>
  <c r="AF87" i="4"/>
  <c r="AE102" i="4"/>
  <c r="AE49" i="4"/>
  <c r="AE47" i="4"/>
  <c r="AF5" i="4"/>
  <c r="AE7" i="4"/>
  <c r="AE57" i="4"/>
  <c r="AE134" i="4"/>
  <c r="AE27" i="4"/>
  <c r="AE133" i="4"/>
  <c r="AE80" i="4"/>
  <c r="AF132" i="4"/>
  <c r="AE10" i="4"/>
  <c r="AE8" i="4"/>
  <c r="AH96" i="4"/>
  <c r="AH50" i="4"/>
  <c r="AF133" i="4"/>
  <c r="AF134" i="4"/>
  <c r="AF135" i="4"/>
  <c r="AH25" i="4"/>
  <c r="AH130" i="4"/>
  <c r="AH135" i="4"/>
  <c r="AH133" i="4"/>
  <c r="AH132" i="4"/>
  <c r="AH32" i="4"/>
  <c r="AH48" i="4"/>
  <c r="AH134" i="4"/>
  <c r="AH120" i="4"/>
  <c r="AH88" i="4"/>
  <c r="AH106" i="4"/>
  <c r="AH114" i="4"/>
  <c r="AH128" i="4"/>
  <c r="AH81" i="4"/>
  <c r="AH30" i="4"/>
  <c r="AH46" i="4"/>
  <c r="AH98" i="4"/>
  <c r="AH66" i="4"/>
  <c r="AH124" i="4"/>
  <c r="AH58" i="4"/>
  <c r="AH28" i="4"/>
  <c r="AH104" i="4"/>
  <c r="L122" i="10"/>
  <c r="AF25" i="4"/>
  <c r="AE116" i="4"/>
  <c r="AE19" i="4"/>
  <c r="AH60" i="4"/>
  <c r="AH62" i="4"/>
  <c r="AH110" i="4"/>
  <c r="AH86" i="4"/>
  <c r="AH108" i="4"/>
  <c r="AH52" i="4"/>
  <c r="AH126" i="4"/>
  <c r="AH84" i="4"/>
  <c r="L124" i="10"/>
  <c r="AE86" i="4"/>
  <c r="AE84" i="4"/>
  <c r="AE44" i="4"/>
  <c r="AE90" i="4"/>
  <c r="AE123" i="4"/>
  <c r="AE46" i="4"/>
  <c r="AE75" i="4"/>
  <c r="AE29" i="4"/>
  <c r="AE40" i="4"/>
  <c r="AE122" i="4"/>
  <c r="AE78" i="4"/>
  <c r="AE13" i="4"/>
  <c r="AE6" i="4"/>
  <c r="AE66" i="4"/>
  <c r="AE112" i="4"/>
  <c r="AE54" i="4"/>
  <c r="AE34" i="4"/>
  <c r="AE83" i="4"/>
  <c r="AE24" i="4"/>
  <c r="AE58" i="4"/>
  <c r="AE38" i="4"/>
  <c r="AE55" i="4"/>
  <c r="AE132" i="4"/>
  <c r="AE60" i="4"/>
  <c r="AE104" i="4"/>
  <c r="AE130" i="4"/>
  <c r="AE94" i="4"/>
  <c r="AE93" i="4"/>
  <c r="AE74" i="4"/>
  <c r="AE100" i="4"/>
  <c r="AE128" i="4"/>
  <c r="AE18" i="4"/>
  <c r="AE28" i="4"/>
  <c r="AE76" i="4"/>
  <c r="AE118" i="4"/>
  <c r="AE26" i="4"/>
  <c r="AE12" i="4"/>
  <c r="AE71" i="4"/>
  <c r="AF70" i="4"/>
  <c r="AF9" i="4"/>
  <c r="AF79" i="4"/>
  <c r="AF20" i="4"/>
  <c r="L125" i="10"/>
  <c r="AF73" i="4"/>
  <c r="AH19" i="4"/>
  <c r="AH119" i="4"/>
  <c r="AH43" i="4"/>
  <c r="AH13" i="4"/>
  <c r="AH103" i="4"/>
  <c r="AH127" i="4"/>
  <c r="AH69" i="4"/>
  <c r="AH95" i="4"/>
  <c r="AH61" i="4"/>
  <c r="AH83" i="4"/>
  <c r="AH27" i="4"/>
  <c r="AH123" i="4"/>
  <c r="AF119" i="4"/>
  <c r="AF68" i="4"/>
  <c r="AF129" i="4"/>
  <c r="AF57" i="4"/>
  <c r="AF51" i="4"/>
  <c r="AF80" i="4"/>
  <c r="AF61" i="4"/>
  <c r="AF88" i="4"/>
  <c r="AF35" i="4"/>
  <c r="AF32" i="4"/>
  <c r="AH105" i="4"/>
  <c r="AF102" i="4"/>
  <c r="AF50" i="4"/>
  <c r="AF66" i="4"/>
  <c r="AH23" i="4"/>
  <c r="AH9" i="4"/>
  <c r="AH107" i="4"/>
  <c r="AH51" i="4"/>
  <c r="AH85" i="4"/>
  <c r="AH93" i="4"/>
  <c r="AH7" i="4"/>
  <c r="AH11" i="4"/>
  <c r="AH45" i="4"/>
  <c r="AH35" i="4"/>
  <c r="AH59" i="4"/>
  <c r="AH29" i="4"/>
  <c r="AF86" i="4"/>
  <c r="AH5" i="4"/>
  <c r="AF18" i="4"/>
  <c r="AF12" i="4"/>
  <c r="AF38" i="4"/>
  <c r="AF71" i="4"/>
  <c r="AF63" i="4"/>
  <c r="AF58" i="4"/>
  <c r="AH117" i="4"/>
  <c r="AH79" i="4"/>
  <c r="AH71" i="4"/>
  <c r="AH55" i="4"/>
  <c r="AH15" i="4"/>
  <c r="AH99" i="4"/>
  <c r="AH125" i="4"/>
  <c r="AH91" i="4"/>
  <c r="AH67" i="4"/>
  <c r="AH21" i="4"/>
  <c r="AH37" i="4"/>
  <c r="AH101" i="4"/>
  <c r="AF22" i="4"/>
  <c r="AF34" i="4"/>
  <c r="AF46" i="4"/>
  <c r="AF106" i="4"/>
  <c r="L123" i="10"/>
  <c r="AF17" i="4"/>
  <c r="AF107" i="4"/>
  <c r="AF45" i="4"/>
  <c r="AF104" i="4"/>
  <c r="AF120" i="4"/>
  <c r="AF43" i="4"/>
  <c r="AF56" i="4"/>
  <c r="AF64" i="4"/>
  <c r="AF69" i="4"/>
  <c r="AF128" i="4"/>
  <c r="AF27" i="4"/>
  <c r="AF67" i="4"/>
  <c r="R42" i="12"/>
  <c r="R86" i="10" s="1"/>
  <c r="R55" i="12"/>
  <c r="R44" i="12"/>
  <c r="R88" i="10" s="1"/>
  <c r="R48" i="12"/>
  <c r="R92" i="10" s="1"/>
  <c r="R52" i="12"/>
  <c r="R96" i="10" s="1"/>
  <c r="R56" i="12"/>
  <c r="R57" i="12"/>
  <c r="E39" i="12"/>
  <c r="E102" i="10" s="1"/>
  <c r="I39" i="12"/>
  <c r="I102" i="10" s="1"/>
  <c r="M39" i="12"/>
  <c r="M102" i="10" s="1"/>
  <c r="L39" i="12"/>
  <c r="L102" i="10" s="1"/>
  <c r="R45" i="12"/>
  <c r="R89" i="10" s="1"/>
  <c r="R49" i="12"/>
  <c r="R53" i="12"/>
  <c r="R97" i="10" s="1"/>
  <c r="D39" i="12"/>
  <c r="D102" i="10" s="1"/>
  <c r="H39" i="12"/>
  <c r="H102" i="10" s="1"/>
  <c r="R46" i="12"/>
  <c r="R90" i="10" s="1"/>
  <c r="R50" i="12"/>
  <c r="R94" i="10" s="1"/>
  <c r="R54" i="12"/>
  <c r="C39" i="12"/>
  <c r="C102" i="10" s="1"/>
  <c r="G39" i="12"/>
  <c r="G102" i="10" s="1"/>
  <c r="K39" i="12"/>
  <c r="K102" i="10" s="1"/>
  <c r="R39" i="12"/>
  <c r="S39" i="12"/>
  <c r="B39" i="12"/>
  <c r="B102" i="10" s="1"/>
  <c r="F39" i="12"/>
  <c r="F102" i="10" s="1"/>
  <c r="J39" i="12"/>
  <c r="J102" i="10" s="1"/>
  <c r="N39" i="12"/>
  <c r="O39" i="12"/>
  <c r="P39" i="12"/>
  <c r="Q39" i="12"/>
  <c r="R58" i="12"/>
  <c r="R59" i="12"/>
  <c r="R43" i="12"/>
  <c r="R87" i="10" s="1"/>
  <c r="R47" i="12"/>
  <c r="R91" i="10" s="1"/>
  <c r="R51" i="12"/>
  <c r="R95" i="10" s="1"/>
  <c r="R93" i="10"/>
  <c r="AF55" i="4"/>
  <c r="AF89" i="4"/>
  <c r="AF65" i="4"/>
  <c r="AF30" i="4"/>
  <c r="AF113" i="4"/>
  <c r="AF90" i="4"/>
  <c r="P42" i="12"/>
  <c r="P86" i="10" s="1"/>
  <c r="P55" i="12"/>
  <c r="E37" i="12"/>
  <c r="E100" i="10" s="1"/>
  <c r="I37" i="12"/>
  <c r="I100" i="10" s="1"/>
  <c r="M37" i="12"/>
  <c r="M100" i="10" s="1"/>
  <c r="P43" i="12"/>
  <c r="P87" i="10" s="1"/>
  <c r="P47" i="12"/>
  <c r="P91" i="10" s="1"/>
  <c r="P51" i="12"/>
  <c r="P95" i="10" s="1"/>
  <c r="G37" i="12"/>
  <c r="G100" i="10" s="1"/>
  <c r="N37" i="12"/>
  <c r="Q37" i="12"/>
  <c r="P58" i="12"/>
  <c r="D37" i="12"/>
  <c r="D100" i="10" s="1"/>
  <c r="P37" i="12"/>
  <c r="P57" i="12"/>
  <c r="P44" i="12"/>
  <c r="P88" i="10" s="1"/>
  <c r="P48" i="12"/>
  <c r="P92" i="10" s="1"/>
  <c r="P52" i="12"/>
  <c r="P96" i="10" s="1"/>
  <c r="B37" i="12"/>
  <c r="B100" i="10" s="1"/>
  <c r="K37" i="12"/>
  <c r="K100" i="10" s="1"/>
  <c r="P45" i="12"/>
  <c r="P89" i="10" s="1"/>
  <c r="P49" i="12"/>
  <c r="P93" i="10" s="1"/>
  <c r="P53" i="12"/>
  <c r="P97" i="10" s="1"/>
  <c r="P54" i="12"/>
  <c r="F37" i="12"/>
  <c r="F100" i="10" s="1"/>
  <c r="H37" i="12"/>
  <c r="H100" i="10" s="1"/>
  <c r="P56" i="12"/>
  <c r="S37" i="12"/>
  <c r="J37" i="12"/>
  <c r="J100" i="10" s="1"/>
  <c r="L37" i="12"/>
  <c r="L100" i="10" s="1"/>
  <c r="O37" i="12"/>
  <c r="R37" i="12"/>
  <c r="P59" i="12"/>
  <c r="P46" i="12"/>
  <c r="P90" i="10" s="1"/>
  <c r="P50" i="12"/>
  <c r="P94" i="10" s="1"/>
  <c r="C37" i="12"/>
  <c r="C100" i="10" s="1"/>
  <c r="AF81" i="4"/>
  <c r="AF121" i="4"/>
  <c r="AF7" i="4"/>
  <c r="AF16" i="4"/>
  <c r="AF59" i="4"/>
  <c r="AF83" i="4"/>
  <c r="AF101" i="4"/>
  <c r="AF72" i="4"/>
  <c r="AF112" i="4"/>
  <c r="AF98" i="4"/>
  <c r="AF116" i="4"/>
  <c r="AF126" i="4"/>
  <c r="AF122" i="4"/>
  <c r="AF110" i="4"/>
  <c r="AF92" i="4"/>
  <c r="AF84" i="4"/>
  <c r="AF115" i="4"/>
  <c r="AF75" i="4"/>
  <c r="AF40" i="4"/>
  <c r="AF77" i="4"/>
  <c r="AF125" i="4"/>
  <c r="AF85" i="4"/>
  <c r="AF11" i="4"/>
  <c r="AF131" i="4"/>
  <c r="AF53" i="4"/>
  <c r="AF21" i="4"/>
  <c r="AF13" i="4"/>
  <c r="AF91" i="4"/>
  <c r="AF6" i="4"/>
  <c r="AF94" i="4"/>
  <c r="AF28" i="4"/>
  <c r="AF105" i="4"/>
  <c r="AF82" i="4"/>
  <c r="AF23" i="4"/>
  <c r="AF62" i="4"/>
  <c r="AH6" i="4"/>
  <c r="AF97" i="4"/>
  <c r="AF47" i="4"/>
  <c r="AF108" i="4"/>
  <c r="AF36" i="4"/>
  <c r="AH115" i="4"/>
  <c r="AH39" i="4"/>
  <c r="AH75" i="4"/>
  <c r="AH47" i="4"/>
  <c r="AH111" i="4"/>
  <c r="AH87" i="4"/>
  <c r="AH31" i="4"/>
  <c r="AH77" i="4"/>
  <c r="AH63" i="4"/>
  <c r="AH131" i="4"/>
  <c r="AH109" i="4"/>
  <c r="AH53" i="4"/>
  <c r="AF33" i="4"/>
  <c r="AF39" i="4"/>
  <c r="AF44" i="4"/>
  <c r="AF31" i="4"/>
  <c r="AF42" i="4"/>
  <c r="AF48" i="4"/>
  <c r="AF8" i="4"/>
  <c r="AF99" i="4"/>
  <c r="AF96" i="4"/>
  <c r="AF19" i="4"/>
  <c r="AF117" i="4"/>
  <c r="AF109" i="4"/>
  <c r="AF24" i="4"/>
  <c r="AF29" i="4"/>
  <c r="AF93" i="4"/>
  <c r="AF37" i="4"/>
  <c r="AF123" i="4"/>
  <c r="AH40" i="4"/>
  <c r="AF103" i="4"/>
  <c r="AF60" i="4"/>
  <c r="AF95" i="4"/>
  <c r="AF26" i="4"/>
  <c r="AB122" i="10" l="1"/>
  <c r="AC123" i="10"/>
  <c r="Z123" i="10"/>
  <c r="AA122" i="10"/>
  <c r="U121" i="10"/>
  <c r="W121" i="10" s="1"/>
  <c r="V120" i="10"/>
  <c r="AJ76" i="4"/>
  <c r="AJ41" i="4"/>
  <c r="AJ33" i="4"/>
  <c r="AJ89" i="4"/>
  <c r="AJ64" i="4"/>
  <c r="AJ118" i="4"/>
  <c r="AJ78" i="4"/>
  <c r="AJ10" i="4"/>
  <c r="AJ129" i="4"/>
  <c r="AJ124" i="4"/>
  <c r="AJ49" i="4"/>
  <c r="AJ127" i="4"/>
  <c r="AJ54" i="4"/>
  <c r="AJ25" i="4"/>
  <c r="AJ122" i="4"/>
  <c r="AJ123" i="4"/>
  <c r="AJ128" i="4"/>
  <c r="AJ125" i="4"/>
  <c r="AJ130" i="4"/>
  <c r="AJ126" i="4"/>
  <c r="AJ131" i="4"/>
  <c r="AJ133" i="4"/>
  <c r="AJ114" i="4"/>
  <c r="AJ134" i="4"/>
  <c r="AJ132" i="4"/>
  <c r="AJ135" i="4"/>
  <c r="R100" i="10"/>
  <c r="P102" i="10"/>
  <c r="AJ120" i="4"/>
  <c r="AJ52" i="4"/>
  <c r="AJ74" i="4"/>
  <c r="AJ85" i="4"/>
  <c r="P100" i="10"/>
  <c r="AJ113" i="4"/>
  <c r="AJ70" i="4"/>
  <c r="AJ50" i="4"/>
  <c r="J115" i="10"/>
  <c r="J121" i="10" s="1"/>
  <c r="C35" i="12"/>
  <c r="C98" i="10" s="1"/>
  <c r="J119" i="10"/>
  <c r="AJ100" i="4"/>
  <c r="AJ116" i="4"/>
  <c r="AJ99" i="4"/>
  <c r="AJ61" i="4"/>
  <c r="AJ37" i="4"/>
  <c r="AJ111" i="4"/>
  <c r="AJ27" i="4"/>
  <c r="R102" i="10"/>
  <c r="AJ110" i="4"/>
  <c r="AJ67" i="4"/>
  <c r="AJ55" i="4"/>
  <c r="K119" i="10"/>
  <c r="AJ20" i="4"/>
  <c r="AJ117" i="4"/>
  <c r="AJ8" i="4"/>
  <c r="AJ90" i="4"/>
  <c r="AJ46" i="4"/>
  <c r="AJ58" i="4"/>
  <c r="AJ18" i="4"/>
  <c r="M119" i="10"/>
  <c r="M115" i="10"/>
  <c r="M121" i="10" s="1"/>
  <c r="AJ73" i="4"/>
  <c r="AJ103" i="4"/>
  <c r="AJ93" i="4"/>
  <c r="AJ39" i="4"/>
  <c r="AJ108" i="4"/>
  <c r="AJ34" i="4"/>
  <c r="AJ12" i="4"/>
  <c r="AJ44" i="4"/>
  <c r="AJ88" i="4"/>
  <c r="AJ36" i="4"/>
  <c r="AJ23" i="4"/>
  <c r="AJ82" i="4"/>
  <c r="AJ94" i="4"/>
  <c r="AJ115" i="4"/>
  <c r="AJ72" i="4"/>
  <c r="AJ101" i="4"/>
  <c r="AJ16" i="4"/>
  <c r="AJ77" i="4"/>
  <c r="AJ30" i="4"/>
  <c r="AJ65" i="4"/>
  <c r="AJ104" i="4"/>
  <c r="AJ45" i="4"/>
  <c r="AJ56" i="4"/>
  <c r="AJ95" i="4"/>
  <c r="AJ71" i="4"/>
  <c r="AJ38" i="4"/>
  <c r="AJ86" i="4"/>
  <c r="AJ66" i="4"/>
  <c r="AJ51" i="4"/>
  <c r="AJ68" i="4"/>
  <c r="AJ35" i="4"/>
  <c r="AJ79" i="4"/>
  <c r="AJ5" i="4"/>
  <c r="AJ31" i="4"/>
  <c r="AJ21" i="4"/>
  <c r="AJ11" i="4"/>
  <c r="AJ40" i="4"/>
  <c r="AJ84" i="4"/>
  <c r="AJ98" i="4"/>
  <c r="AJ83" i="4"/>
  <c r="AJ7" i="4"/>
  <c r="AJ43" i="4"/>
  <c r="AJ107" i="4"/>
  <c r="AJ17" i="4"/>
  <c r="AJ22" i="4"/>
  <c r="AJ32" i="4"/>
  <c r="AJ60" i="4"/>
  <c r="AJ87" i="4"/>
  <c r="AJ28" i="4"/>
  <c r="AJ91" i="4"/>
  <c r="AJ13" i="4"/>
  <c r="AJ121" i="4"/>
  <c r="AJ81" i="4"/>
  <c r="AJ106" i="4"/>
  <c r="N35" i="12"/>
  <c r="R35" i="12"/>
  <c r="N43" i="12"/>
  <c r="N87" i="10" s="1"/>
  <c r="N57" i="12"/>
  <c r="AJ102" i="4"/>
  <c r="AJ57" i="4"/>
  <c r="AJ119" i="4"/>
  <c r="AJ105" i="4"/>
  <c r="AJ24" i="4"/>
  <c r="AJ109" i="4"/>
  <c r="AJ96" i="4"/>
  <c r="AJ26" i="4"/>
  <c r="AJ29" i="4"/>
  <c r="AJ19" i="4"/>
  <c r="AJ48" i="4"/>
  <c r="AJ42" i="4"/>
  <c r="AJ47" i="4"/>
  <c r="AJ97" i="4"/>
  <c r="AJ62" i="4"/>
  <c r="AJ6" i="4"/>
  <c r="AJ53" i="4"/>
  <c r="AJ75" i="4"/>
  <c r="AJ92" i="4"/>
  <c r="AJ112" i="4"/>
  <c r="AJ59" i="4"/>
  <c r="AJ69" i="4"/>
  <c r="AJ63" i="4"/>
  <c r="AJ80" i="4"/>
  <c r="K115" i="10"/>
  <c r="K121" i="10" s="1"/>
  <c r="AJ9" i="4"/>
  <c r="AJ15" i="4"/>
  <c r="E17" i="12"/>
  <c r="E16" i="12"/>
  <c r="O10" i="12"/>
  <c r="I17" i="12"/>
  <c r="N20" i="12"/>
  <c r="O16" i="12"/>
  <c r="M17" i="12"/>
  <c r="Q14" i="12"/>
  <c r="O7" i="12"/>
  <c r="O9" i="12"/>
  <c r="O12" i="12"/>
  <c r="Q17" i="12"/>
  <c r="N15" i="12"/>
  <c r="Q19" i="12"/>
  <c r="C17" i="12"/>
  <c r="Q4" i="12"/>
  <c r="Q5" i="12"/>
  <c r="O19" i="12"/>
  <c r="Q12" i="12"/>
  <c r="J118" i="10"/>
  <c r="K116" i="10"/>
  <c r="B16" i="12"/>
  <c r="Q11" i="12"/>
  <c r="N18" i="12"/>
  <c r="O11" i="12"/>
  <c r="N7" i="12"/>
  <c r="N12" i="12"/>
  <c r="D17" i="12"/>
  <c r="O4" i="12"/>
  <c r="Q16" i="12"/>
  <c r="O6" i="12"/>
  <c r="G19" i="12"/>
  <c r="Q10" i="12"/>
  <c r="N19" i="12"/>
  <c r="H19" i="12"/>
  <c r="M118" i="10"/>
  <c r="I19" i="12"/>
  <c r="H17" i="12"/>
  <c r="Q9" i="12"/>
  <c r="P17" i="12"/>
  <c r="O8" i="12"/>
  <c r="J19" i="12"/>
  <c r="O15" i="12"/>
  <c r="N17" i="12"/>
  <c r="O18" i="12"/>
  <c r="L19" i="12"/>
  <c r="M19" i="12"/>
  <c r="Q15" i="12"/>
  <c r="K17" i="12"/>
  <c r="P19" i="12"/>
  <c r="E19" i="12"/>
  <c r="N13" i="12"/>
  <c r="J116" i="10"/>
  <c r="K19" i="12"/>
  <c r="Q7" i="12"/>
  <c r="M116" i="10"/>
  <c r="Q6" i="12"/>
  <c r="N9" i="12"/>
  <c r="Q18" i="12"/>
  <c r="K117" i="10"/>
  <c r="J117" i="10"/>
  <c r="F17" i="12"/>
  <c r="J17" i="12"/>
  <c r="Q20" i="12"/>
  <c r="O13" i="12"/>
  <c r="Q8" i="12"/>
  <c r="O5" i="12"/>
  <c r="R19" i="12"/>
  <c r="G17" i="12"/>
  <c r="B17" i="12"/>
  <c r="R17" i="12"/>
  <c r="K118" i="10"/>
  <c r="O14" i="12"/>
  <c r="Q13" i="12"/>
  <c r="C19" i="12"/>
  <c r="O17" i="12"/>
  <c r="M117" i="10"/>
  <c r="B19" i="12"/>
  <c r="F19" i="12"/>
  <c r="D19" i="12"/>
  <c r="L17" i="12"/>
  <c r="O20" i="12"/>
  <c r="Z124" i="10" l="1"/>
  <c r="AC124" i="10" s="1"/>
  <c r="AA123" i="10"/>
  <c r="AB123" i="10"/>
  <c r="V121" i="10"/>
  <c r="W122" i="10"/>
  <c r="U122" i="10"/>
  <c r="M123" i="10"/>
  <c r="J123" i="10"/>
  <c r="J122" i="10"/>
  <c r="J124" i="10"/>
  <c r="J125" i="10"/>
  <c r="N49" i="12"/>
  <c r="N93" i="10" s="1"/>
  <c r="B35" i="12"/>
  <c r="B98" i="10" s="1"/>
  <c r="N42" i="12"/>
  <c r="N86" i="10" s="1"/>
  <c r="F35" i="12"/>
  <c r="F98" i="10" s="1"/>
  <c r="I35" i="12"/>
  <c r="I98" i="10" s="1"/>
  <c r="K122" i="10"/>
  <c r="K124" i="10"/>
  <c r="L35" i="12"/>
  <c r="L98" i="10" s="1"/>
  <c r="N45" i="12"/>
  <c r="N89" i="10" s="1"/>
  <c r="N52" i="12"/>
  <c r="N96" i="10" s="1"/>
  <c r="H35" i="12"/>
  <c r="H98" i="10" s="1"/>
  <c r="N58" i="12"/>
  <c r="N102" i="10" s="1"/>
  <c r="N50" i="12"/>
  <c r="N94" i="10" s="1"/>
  <c r="E35" i="12"/>
  <c r="E98" i="10" s="1"/>
  <c r="Q35" i="12"/>
  <c r="K35" i="12"/>
  <c r="K98" i="10" s="1"/>
  <c r="D35" i="12"/>
  <c r="D98" i="10" s="1"/>
  <c r="N59" i="12"/>
  <c r="N48" i="12"/>
  <c r="N92" i="10" s="1"/>
  <c r="N51" i="12"/>
  <c r="N95" i="10" s="1"/>
  <c r="N55" i="12"/>
  <c r="N46" i="12"/>
  <c r="N90" i="10" s="1"/>
  <c r="N56" i="12"/>
  <c r="N100" i="10" s="1"/>
  <c r="P35" i="12"/>
  <c r="P98" i="10" s="1"/>
  <c r="G35" i="12"/>
  <c r="G98" i="10" s="1"/>
  <c r="N53" i="12"/>
  <c r="N97" i="10" s="1"/>
  <c r="N54" i="12"/>
  <c r="N98" i="10" s="1"/>
  <c r="N44" i="12"/>
  <c r="N88" i="10" s="1"/>
  <c r="N47" i="12"/>
  <c r="N91" i="10" s="1"/>
  <c r="J35" i="12"/>
  <c r="J98" i="10" s="1"/>
  <c r="M35" i="12"/>
  <c r="M98" i="10" s="1"/>
  <c r="S35" i="12"/>
  <c r="O35" i="12"/>
  <c r="R98" i="10"/>
  <c r="M125" i="10"/>
  <c r="AD115" i="10"/>
  <c r="AE116" i="10"/>
  <c r="AE115" i="10"/>
  <c r="Q42" i="12"/>
  <c r="Q86" i="10" s="1"/>
  <c r="Q43" i="12"/>
  <c r="Q87" i="10" s="1"/>
  <c r="Q45" i="12"/>
  <c r="Q89" i="10" s="1"/>
  <c r="Q47" i="12"/>
  <c r="Q91" i="10" s="1"/>
  <c r="Q49" i="12"/>
  <c r="Q93" i="10" s="1"/>
  <c r="Q51" i="12"/>
  <c r="Q95" i="10" s="1"/>
  <c r="Q53" i="12"/>
  <c r="Q97" i="10" s="1"/>
  <c r="Q55" i="12"/>
  <c r="Q44" i="12"/>
  <c r="Q88" i="10" s="1"/>
  <c r="Q46" i="12"/>
  <c r="Q90" i="10" s="1"/>
  <c r="Q48" i="12"/>
  <c r="Q92" i="10" s="1"/>
  <c r="Q50" i="12"/>
  <c r="Q94" i="10" s="1"/>
  <c r="Q52" i="12"/>
  <c r="Q96" i="10" s="1"/>
  <c r="Q54" i="12"/>
  <c r="F38" i="12"/>
  <c r="F101" i="10" s="1"/>
  <c r="J38" i="12"/>
  <c r="J101" i="10" s="1"/>
  <c r="N38" i="12"/>
  <c r="O38" i="12"/>
  <c r="P38" i="12"/>
  <c r="P101" i="10" s="1"/>
  <c r="Q57" i="12"/>
  <c r="Q58" i="12"/>
  <c r="Q102" i="10" s="1"/>
  <c r="Q56" i="12"/>
  <c r="Q100" i="10" s="1"/>
  <c r="I38" i="12"/>
  <c r="I101" i="10" s="1"/>
  <c r="B38" i="12"/>
  <c r="B101" i="10" s="1"/>
  <c r="E38" i="12"/>
  <c r="E101" i="10" s="1"/>
  <c r="M38" i="12"/>
  <c r="M101" i="10" s="1"/>
  <c r="D38" i="12"/>
  <c r="D101" i="10" s="1"/>
  <c r="H38" i="12"/>
  <c r="H101" i="10" s="1"/>
  <c r="L38" i="12"/>
  <c r="L101" i="10" s="1"/>
  <c r="C38" i="12"/>
  <c r="C101" i="10" s="1"/>
  <c r="G38" i="12"/>
  <c r="G101" i="10" s="1"/>
  <c r="K38" i="12"/>
  <c r="K101" i="10" s="1"/>
  <c r="Q38" i="12"/>
  <c r="R38" i="12"/>
  <c r="R101" i="10" s="1"/>
  <c r="S38" i="12"/>
  <c r="Q59" i="12"/>
  <c r="N101" i="10"/>
  <c r="M124" i="10"/>
  <c r="R115" i="10"/>
  <c r="R121" i="10" s="1"/>
  <c r="K125" i="10"/>
  <c r="R119" i="10"/>
  <c r="K123" i="10"/>
  <c r="O42" i="12"/>
  <c r="O86" i="10" s="1"/>
  <c r="O44" i="12"/>
  <c r="O88" i="10" s="1"/>
  <c r="O46" i="12"/>
  <c r="O90" i="10" s="1"/>
  <c r="O48" i="12"/>
  <c r="O92" i="10" s="1"/>
  <c r="O50" i="12"/>
  <c r="O94" i="10" s="1"/>
  <c r="O52" i="12"/>
  <c r="O96" i="10" s="1"/>
  <c r="B36" i="12"/>
  <c r="B99" i="10" s="1"/>
  <c r="F36" i="12"/>
  <c r="F99" i="10" s="1"/>
  <c r="J36" i="12"/>
  <c r="J99" i="10" s="1"/>
  <c r="N36" i="12"/>
  <c r="O55" i="12"/>
  <c r="O56" i="12"/>
  <c r="O100" i="10" s="1"/>
  <c r="O43" i="12"/>
  <c r="O87" i="10" s="1"/>
  <c r="O45" i="12"/>
  <c r="O89" i="10" s="1"/>
  <c r="O47" i="12"/>
  <c r="O91" i="10" s="1"/>
  <c r="O49" i="12"/>
  <c r="O93" i="10" s="1"/>
  <c r="O51" i="12"/>
  <c r="O95" i="10" s="1"/>
  <c r="O53" i="12"/>
  <c r="O97" i="10" s="1"/>
  <c r="D36" i="12"/>
  <c r="D99" i="10" s="1"/>
  <c r="H36" i="12"/>
  <c r="H99" i="10" s="1"/>
  <c r="L36" i="12"/>
  <c r="L99" i="10" s="1"/>
  <c r="O54" i="12"/>
  <c r="I36" i="12"/>
  <c r="I99" i="10" s="1"/>
  <c r="O58" i="12"/>
  <c r="O102" i="10" s="1"/>
  <c r="G36" i="12"/>
  <c r="G99" i="10" s="1"/>
  <c r="O36" i="12"/>
  <c r="Q36" i="12"/>
  <c r="O57" i="12"/>
  <c r="E36" i="12"/>
  <c r="E99" i="10" s="1"/>
  <c r="M36" i="12"/>
  <c r="M99" i="10" s="1"/>
  <c r="S36" i="12"/>
  <c r="O59" i="12"/>
  <c r="C36" i="12"/>
  <c r="C99" i="10" s="1"/>
  <c r="K36" i="12"/>
  <c r="K99" i="10" s="1"/>
  <c r="P36" i="12"/>
  <c r="P99" i="10" s="1"/>
  <c r="R36" i="12"/>
  <c r="R99" i="10" s="1"/>
  <c r="M122" i="10"/>
  <c r="Q21" i="12"/>
  <c r="P21" i="12"/>
  <c r="R118" i="10"/>
  <c r="S13" i="12"/>
  <c r="I21" i="12"/>
  <c r="S14" i="12"/>
  <c r="S18" i="12"/>
  <c r="R117" i="10"/>
  <c r="C21" i="12"/>
  <c r="S5" i="12"/>
  <c r="S12" i="12"/>
  <c r="F21" i="12"/>
  <c r="S4" i="12"/>
  <c r="S16" i="12"/>
  <c r="L21" i="12"/>
  <c r="S19" i="12"/>
  <c r="B21" i="12"/>
  <c r="S6" i="12"/>
  <c r="M21" i="12"/>
  <c r="S17" i="12"/>
  <c r="E21" i="12"/>
  <c r="J21" i="12"/>
  <c r="S11" i="12"/>
  <c r="R21" i="12"/>
  <c r="S7" i="12"/>
  <c r="G21" i="12"/>
  <c r="H21" i="12"/>
  <c r="S21" i="12"/>
  <c r="N21" i="12"/>
  <c r="S8" i="12"/>
  <c r="K21" i="12"/>
  <c r="D21" i="12"/>
  <c r="R116" i="10"/>
  <c r="S20" i="12"/>
  <c r="O21" i="12"/>
  <c r="S10" i="12"/>
  <c r="S15" i="12"/>
  <c r="S9" i="12"/>
  <c r="U123" i="10" l="1"/>
  <c r="W123" i="10" s="1"/>
  <c r="V122" i="10"/>
  <c r="AB124" i="10"/>
  <c r="Z125" i="10"/>
  <c r="AA124" i="10"/>
  <c r="Q99" i="10"/>
  <c r="Q98" i="10"/>
  <c r="O98" i="10"/>
  <c r="N99" i="10"/>
  <c r="Q101" i="10"/>
  <c r="O99" i="10"/>
  <c r="AF115" i="10"/>
  <c r="AE117" i="10" s="1"/>
  <c r="R122" i="10"/>
  <c r="O101" i="10"/>
  <c r="R123" i="10"/>
  <c r="R124" i="10"/>
  <c r="AF116" i="10"/>
  <c r="AG116" i="10"/>
  <c r="S42" i="12"/>
  <c r="S86" i="10" s="1"/>
  <c r="S44" i="12"/>
  <c r="S88" i="10" s="1"/>
  <c r="S46" i="12"/>
  <c r="S90" i="10" s="1"/>
  <c r="S48" i="12"/>
  <c r="S92" i="10" s="1"/>
  <c r="S50" i="12"/>
  <c r="S94" i="10" s="1"/>
  <c r="S52" i="12"/>
  <c r="S96" i="10" s="1"/>
  <c r="S55" i="12"/>
  <c r="S99" i="10" s="1"/>
  <c r="S43" i="12"/>
  <c r="S87" i="10" s="1"/>
  <c r="S45" i="12"/>
  <c r="S89" i="10" s="1"/>
  <c r="S47" i="12"/>
  <c r="S91" i="10" s="1"/>
  <c r="S49" i="12"/>
  <c r="S93" i="10" s="1"/>
  <c r="S51" i="12"/>
  <c r="S95" i="10" s="1"/>
  <c r="S53" i="12"/>
  <c r="S97" i="10" s="1"/>
  <c r="S54" i="12"/>
  <c r="S98" i="10" s="1"/>
  <c r="S57" i="12"/>
  <c r="S101" i="10" s="1"/>
  <c r="D40" i="12"/>
  <c r="D103" i="10" s="1"/>
  <c r="H40" i="12"/>
  <c r="H103" i="10" s="1"/>
  <c r="L40" i="12"/>
  <c r="L103" i="10" s="1"/>
  <c r="C40" i="12"/>
  <c r="C103" i="10" s="1"/>
  <c r="K40" i="12"/>
  <c r="K103" i="10" s="1"/>
  <c r="E40" i="12"/>
  <c r="E103" i="10" s="1"/>
  <c r="G40" i="12"/>
  <c r="G103" i="10" s="1"/>
  <c r="S40" i="12"/>
  <c r="I40" i="12"/>
  <c r="I103" i="10" s="1"/>
  <c r="B40" i="12"/>
  <c r="B103" i="10" s="1"/>
  <c r="F40" i="12"/>
  <c r="F103" i="10" s="1"/>
  <c r="J40" i="12"/>
  <c r="J103" i="10" s="1"/>
  <c r="N40" i="12"/>
  <c r="N103" i="10" s="1"/>
  <c r="O40" i="12"/>
  <c r="O103" i="10" s="1"/>
  <c r="P40" i="12"/>
  <c r="P103" i="10" s="1"/>
  <c r="Q40" i="12"/>
  <c r="Q103" i="10" s="1"/>
  <c r="R40" i="12"/>
  <c r="R103" i="10" s="1"/>
  <c r="S59" i="12"/>
  <c r="S56" i="12"/>
  <c r="S100" i="10" s="1"/>
  <c r="S58" i="12"/>
  <c r="S102" i="10" s="1"/>
  <c r="M40" i="12"/>
  <c r="M103" i="10" s="1"/>
  <c r="R125" i="10"/>
  <c r="AA125" i="10" l="1"/>
  <c r="AA126" i="10"/>
  <c r="AB126" i="10"/>
  <c r="AB125" i="10"/>
  <c r="Z126" i="10"/>
  <c r="AC126" i="10" s="1"/>
  <c r="AC125" i="10"/>
  <c r="V123" i="10"/>
  <c r="U124" i="10"/>
  <c r="W124" i="10" s="1"/>
  <c r="S103" i="10"/>
  <c r="AF117" i="10"/>
  <c r="AE118" i="10"/>
  <c r="AG117" i="10"/>
  <c r="U125" i="10" l="1"/>
  <c r="W125" i="10"/>
  <c r="V124" i="10"/>
  <c r="AE119" i="10"/>
  <c r="AG119" i="10" s="1"/>
  <c r="AF118" i="10"/>
  <c r="AG118" i="10"/>
  <c r="V125" i="10" l="1"/>
  <c r="V126" i="10"/>
  <c r="U126" i="10"/>
  <c r="W126" i="10"/>
  <c r="AF119" i="10"/>
  <c r="AE120" i="10"/>
  <c r="AE121" i="10" l="1"/>
  <c r="AG121" i="10" s="1"/>
  <c r="AF120" i="10"/>
  <c r="AG120" i="10"/>
  <c r="AF121" i="10" l="1"/>
  <c r="AE122" i="10"/>
  <c r="AG122" i="10" s="1"/>
  <c r="AE123" i="10" l="1"/>
  <c r="AG123" i="10" s="1"/>
  <c r="AF122" i="10"/>
  <c r="AF123" i="10" l="1"/>
  <c r="AE124" i="10"/>
  <c r="AG124" i="10" s="1"/>
  <c r="AE125" i="10" l="1"/>
  <c r="AG125" i="10" s="1"/>
  <c r="AF124" i="10"/>
  <c r="AF125" i="10" l="1"/>
  <c r="AE126" i="10"/>
  <c r="AG126" i="10" s="1"/>
  <c r="AF126" i="10"/>
</calcChain>
</file>

<file path=xl/sharedStrings.xml><?xml version="1.0" encoding="utf-8"?>
<sst xmlns="http://schemas.openxmlformats.org/spreadsheetml/2006/main" count="1603" uniqueCount="355">
  <si>
    <t>Vulnerabilidad</t>
  </si>
  <si>
    <t>x</t>
  </si>
  <si>
    <t>Población</t>
  </si>
  <si>
    <t>Estatus Socio-Económico</t>
  </si>
  <si>
    <t>Actividad Económica</t>
  </si>
  <si>
    <t>Medio Ambiente</t>
  </si>
  <si>
    <r>
      <t>Población</t>
    </r>
    <r>
      <rPr>
        <sz val="12"/>
        <color theme="1"/>
        <rFont val="Calibri"/>
        <family val="2"/>
        <scheme val="minor"/>
      </rPr>
      <t xml:space="preserve"> frente a </t>
    </r>
    <r>
      <rPr>
        <b/>
        <sz val="12"/>
        <color theme="1"/>
        <rFont val="Calibri"/>
        <family val="2"/>
        <scheme val="minor"/>
      </rPr>
      <t>Estatus Socio-económico</t>
    </r>
  </si>
  <si>
    <r>
      <t xml:space="preserve">Población </t>
    </r>
    <r>
      <rPr>
        <sz val="12"/>
        <color theme="1"/>
        <rFont val="Calibri"/>
        <family val="2"/>
        <scheme val="minor"/>
      </rPr>
      <t xml:space="preserve">frente a </t>
    </r>
    <r>
      <rPr>
        <b/>
        <sz val="12"/>
        <color theme="1"/>
        <rFont val="Calibri"/>
        <family val="2"/>
        <scheme val="minor"/>
      </rPr>
      <t>Actividad Económica</t>
    </r>
  </si>
  <si>
    <r>
      <t>Estatus Socio-económico</t>
    </r>
    <r>
      <rPr>
        <sz val="12"/>
        <color theme="1"/>
        <rFont val="Calibri"/>
        <family val="2"/>
        <scheme val="minor"/>
      </rPr>
      <t xml:space="preserve"> frente a </t>
    </r>
    <r>
      <rPr>
        <b/>
        <sz val="12"/>
        <color theme="1"/>
        <rFont val="Calibri"/>
        <family val="2"/>
        <scheme val="minor"/>
      </rPr>
      <t>Actividad Económica</t>
    </r>
  </si>
  <si>
    <t>Peso</t>
  </si>
  <si>
    <t>Wharton</t>
  </si>
  <si>
    <t>n</t>
  </si>
  <si>
    <t>Random Index (RI)</t>
  </si>
  <si>
    <t>Tasa Extranjeros</t>
  </si>
  <si>
    <t>Esperanza de Vida</t>
  </si>
  <si>
    <t>DISTRITO</t>
  </si>
  <si>
    <t>BARRIO</t>
  </si>
  <si>
    <t>01. Centro</t>
  </si>
  <si>
    <t xml:space="preserve">   011. Palacio</t>
  </si>
  <si>
    <t xml:space="preserve">   012. Embajadores</t>
  </si>
  <si>
    <t xml:space="preserve">   013. Cortes</t>
  </si>
  <si>
    <t xml:space="preserve">   014. Justicia</t>
  </si>
  <si>
    <t xml:space="preserve">   015. Universidad</t>
  </si>
  <si>
    <t xml:space="preserve">   016. Sol</t>
  </si>
  <si>
    <t>02. Arganzuela</t>
  </si>
  <si>
    <t xml:space="preserve">   021. Imperial</t>
  </si>
  <si>
    <t xml:space="preserve">   024. Legazpi</t>
  </si>
  <si>
    <t xml:space="preserve">   026. Palos de Moguer</t>
  </si>
  <si>
    <t xml:space="preserve">   027. Atocha</t>
  </si>
  <si>
    <t>03. Retiro</t>
  </si>
  <si>
    <t xml:space="preserve">   031. Pacífico</t>
  </si>
  <si>
    <t xml:space="preserve">   032. Adelfas</t>
  </si>
  <si>
    <t xml:space="preserve">   034. Ibiza</t>
  </si>
  <si>
    <t xml:space="preserve">   036. Niño Jesús</t>
  </si>
  <si>
    <t>04. Salamanca</t>
  </si>
  <si>
    <t xml:space="preserve">   041. Recoletos</t>
  </si>
  <si>
    <t xml:space="preserve">   042. Goya</t>
  </si>
  <si>
    <t xml:space="preserve">   043. Fuente del Berro</t>
  </si>
  <si>
    <t xml:space="preserve">   044. Guindalera</t>
  </si>
  <si>
    <t xml:space="preserve">   045. Lista</t>
  </si>
  <si>
    <t xml:space="preserve">   046. Castellana</t>
  </si>
  <si>
    <t>05. Chamartín</t>
  </si>
  <si>
    <t xml:space="preserve">   051. El Viso</t>
  </si>
  <si>
    <t xml:space="preserve">   052. Prosperidad</t>
  </si>
  <si>
    <t xml:space="preserve">   053. Ciudad Jardín</t>
  </si>
  <si>
    <t xml:space="preserve">   054. Hispanoamérica</t>
  </si>
  <si>
    <t xml:space="preserve">   055. Nueva España</t>
  </si>
  <si>
    <t xml:space="preserve">   056. Castilla</t>
  </si>
  <si>
    <t>06. Tetuán</t>
  </si>
  <si>
    <t xml:space="preserve">   061. Bellas Vistas</t>
  </si>
  <si>
    <t xml:space="preserve">   062. Cuatro Caminos</t>
  </si>
  <si>
    <t xml:space="preserve">   063. Castillejos</t>
  </si>
  <si>
    <t xml:space="preserve">   064. Almenara</t>
  </si>
  <si>
    <t xml:space="preserve">   065. Valdeacederas</t>
  </si>
  <si>
    <t xml:space="preserve">   066. Berruguete</t>
  </si>
  <si>
    <t>07. Chamberí</t>
  </si>
  <si>
    <t xml:space="preserve">   071. Gaztambide</t>
  </si>
  <si>
    <t xml:space="preserve">   072. Arapiles</t>
  </si>
  <si>
    <t xml:space="preserve">   073. Trafalgar</t>
  </si>
  <si>
    <t xml:space="preserve">   074. Almagro</t>
  </si>
  <si>
    <t xml:space="preserve">   075. Ríos Rosas</t>
  </si>
  <si>
    <t xml:space="preserve">   076. Vallehermoso</t>
  </si>
  <si>
    <t>08. Fuencarral-El Pardo</t>
  </si>
  <si>
    <t xml:space="preserve">   081. El Pardo</t>
  </si>
  <si>
    <t xml:space="preserve">   082. Fuentelarreina</t>
  </si>
  <si>
    <t xml:space="preserve">   083. Peñagrande</t>
  </si>
  <si>
    <t xml:space="preserve">   085. La Paz</t>
  </si>
  <si>
    <t xml:space="preserve">   086. Valverde</t>
  </si>
  <si>
    <t xml:space="preserve">   087. Mirasierra</t>
  </si>
  <si>
    <t xml:space="preserve">   088. El Goloso</t>
  </si>
  <si>
    <t>09. Moncloa-Aravaca</t>
  </si>
  <si>
    <t xml:space="preserve">   091. Casa de Campo</t>
  </si>
  <si>
    <t xml:space="preserve">   092. Argüelles</t>
  </si>
  <si>
    <t xml:space="preserve">   093. Ciudad Universitaria</t>
  </si>
  <si>
    <t xml:space="preserve">   094. Valdezarza</t>
  </si>
  <si>
    <t xml:space="preserve">   095. Valdemarín</t>
  </si>
  <si>
    <t xml:space="preserve">   096. El Plantío</t>
  </si>
  <si>
    <t xml:space="preserve">   097. Aravaca</t>
  </si>
  <si>
    <t>10. Latina</t>
  </si>
  <si>
    <t xml:space="preserve">   103. Lucero</t>
  </si>
  <si>
    <t xml:space="preserve">   104. Aluche</t>
  </si>
  <si>
    <t xml:space="preserve">   105. Campamento</t>
  </si>
  <si>
    <t xml:space="preserve">   106. Cuatro Vientos</t>
  </si>
  <si>
    <t xml:space="preserve">   107. Las Águilas</t>
  </si>
  <si>
    <t>11. Carabanchel</t>
  </si>
  <si>
    <t xml:space="preserve">   111. Comillas</t>
  </si>
  <si>
    <t xml:space="preserve">   112. Opañel</t>
  </si>
  <si>
    <t xml:space="preserve">   113. San Isidro</t>
  </si>
  <si>
    <t xml:space="preserve">   114. Vista Alegre</t>
  </si>
  <si>
    <t xml:space="preserve">   115. Puerta Bonita</t>
  </si>
  <si>
    <t xml:space="preserve">   116. Buenavista</t>
  </si>
  <si>
    <t xml:space="preserve">   117. Abrantes</t>
  </si>
  <si>
    <t>12. Usera</t>
  </si>
  <si>
    <t xml:space="preserve">   121. Orcasitas</t>
  </si>
  <si>
    <t xml:space="preserve">   122. Orcasur</t>
  </si>
  <si>
    <t xml:space="preserve">   123. San Fermín</t>
  </si>
  <si>
    <t xml:space="preserve">   124. Almendrales</t>
  </si>
  <si>
    <t xml:space="preserve">   125. Moscardó</t>
  </si>
  <si>
    <t xml:space="preserve">   127. Pradolongo</t>
  </si>
  <si>
    <t>13. Puente de Vallecas</t>
  </si>
  <si>
    <t xml:space="preserve">   131. Entrevías</t>
  </si>
  <si>
    <t xml:space="preserve">   132. San Diego</t>
  </si>
  <si>
    <t xml:space="preserve">   133. Palomeras Bajas</t>
  </si>
  <si>
    <t xml:space="preserve">   134. Palomeras Sureste</t>
  </si>
  <si>
    <t xml:space="preserve">   135. Portazgo</t>
  </si>
  <si>
    <t xml:space="preserve">   136. Numancia</t>
  </si>
  <si>
    <t>14. Moratalaz</t>
  </si>
  <si>
    <t xml:space="preserve">   141. Pavones</t>
  </si>
  <si>
    <t xml:space="preserve">   142. Horcajo</t>
  </si>
  <si>
    <t xml:space="preserve">   143. Marroquina</t>
  </si>
  <si>
    <t xml:space="preserve">   144. Media Legua</t>
  </si>
  <si>
    <t xml:space="preserve">   145. Fontarrón</t>
  </si>
  <si>
    <t xml:space="preserve">   146. Vinateros</t>
  </si>
  <si>
    <t>15. Ciudad Lineal</t>
  </si>
  <si>
    <t xml:space="preserve">   151. Ventas</t>
  </si>
  <si>
    <t xml:space="preserve">   152. Pueblo Nuevo</t>
  </si>
  <si>
    <t xml:space="preserve">   153. Quintana</t>
  </si>
  <si>
    <t xml:space="preserve">   155. San Pascual</t>
  </si>
  <si>
    <t xml:space="preserve">   156. San Juan Bautista</t>
  </si>
  <si>
    <t xml:space="preserve">   157. Colina</t>
  </si>
  <si>
    <t xml:space="preserve">   158. Atalaya</t>
  </si>
  <si>
    <t xml:space="preserve">   159. Costillares</t>
  </si>
  <si>
    <t>16. Hortaleza</t>
  </si>
  <si>
    <t xml:space="preserve">   161. Palomas</t>
  </si>
  <si>
    <t xml:space="preserve">   162. Piovera</t>
  </si>
  <si>
    <t xml:space="preserve">   163. Canillas</t>
  </si>
  <si>
    <t xml:space="preserve">   164. Pinar del Rey</t>
  </si>
  <si>
    <t xml:space="preserve">   165. Apóstol Santiago</t>
  </si>
  <si>
    <t xml:space="preserve">   166. Valdefuentes</t>
  </si>
  <si>
    <t>17. Villaverde</t>
  </si>
  <si>
    <t xml:space="preserve">   172. San Cristóbal</t>
  </si>
  <si>
    <t xml:space="preserve">   173. Butarque</t>
  </si>
  <si>
    <t xml:space="preserve">   174. Los Rosales</t>
  </si>
  <si>
    <t xml:space="preserve">   175. Los Ángeles</t>
  </si>
  <si>
    <t>18. Villa de Vallecas</t>
  </si>
  <si>
    <t xml:space="preserve">   181. Casco Histórico de Vallecas</t>
  </si>
  <si>
    <t xml:space="preserve">   182. Santa Eugenia</t>
  </si>
  <si>
    <t>19. Vicálvaro</t>
  </si>
  <si>
    <t xml:space="preserve">   191. Casco Histórico de Vicálvaro</t>
  </si>
  <si>
    <t>20. San Blas</t>
  </si>
  <si>
    <t xml:space="preserve">   201. Simancas</t>
  </si>
  <si>
    <t xml:space="preserve">   202. Hellín</t>
  </si>
  <si>
    <t xml:space="preserve">   203. Amposta</t>
  </si>
  <si>
    <t xml:space="preserve">   204. Arcos</t>
  </si>
  <si>
    <t xml:space="preserve">   205. Rosas</t>
  </si>
  <si>
    <t xml:space="preserve">   206. Rejas</t>
  </si>
  <si>
    <t xml:space="preserve">   207. Canillejas</t>
  </si>
  <si>
    <t>21. Barajas</t>
  </si>
  <si>
    <t xml:space="preserve">   211. Alameda de Osuna</t>
  </si>
  <si>
    <t xml:space="preserve">   212. Aeropuerto</t>
  </si>
  <si>
    <t xml:space="preserve">   213. Casco Histórico de Barajas</t>
  </si>
  <si>
    <t xml:space="preserve">   214. Timón</t>
  </si>
  <si>
    <t xml:space="preserve">   215. Corralejos</t>
  </si>
  <si>
    <t>Tasa Paro Absoluto</t>
  </si>
  <si>
    <t>Número de Parados Juveniles</t>
  </si>
  <si>
    <t>Número de Parados Sin Prestación</t>
  </si>
  <si>
    <t>Índice DUS</t>
  </si>
  <si>
    <t>Renta Bruta per cápita</t>
  </si>
  <si>
    <t>Tasa de Paro</t>
  </si>
  <si>
    <t>NORMALIZADO</t>
  </si>
  <si>
    <t>Esperanza de Vida Corregida</t>
  </si>
  <si>
    <t>Ranking Vulnerabilidad</t>
  </si>
  <si>
    <t>Importancia Relativa</t>
  </si>
  <si>
    <t>IGUAL</t>
  </si>
  <si>
    <t>Mucho</t>
  </si>
  <si>
    <t>Bastante</t>
  </si>
  <si>
    <t>Algo</t>
  </si>
  <si>
    <t>Extrema</t>
  </si>
  <si>
    <t>Igual</t>
  </si>
  <si>
    <t>MAYOR</t>
  </si>
  <si>
    <t>MENOR</t>
  </si>
  <si>
    <t>Consistencia Saaty</t>
  </si>
  <si>
    <t>Modelo de Índice de Vulnerabilidad aplicando el Proceso Analítico Jerárquico</t>
  </si>
  <si>
    <t>Para obtener un ranking basado en la vulnerabilidad, deben darse valores a la importancia relativa entre las variables de decisión.</t>
  </si>
  <si>
    <t>Por ejemplo:</t>
  </si>
  <si>
    <t>A</t>
  </si>
  <si>
    <r>
      <t>B</t>
    </r>
    <r>
      <rPr>
        <sz val="12"/>
        <color theme="1"/>
        <rFont val="Calibri"/>
        <family val="2"/>
        <scheme val="minor"/>
      </rPr>
      <t xml:space="preserve"> frente a </t>
    </r>
    <r>
      <rPr>
        <b/>
        <sz val="12"/>
        <color theme="1"/>
        <rFont val="Calibri"/>
        <family val="2"/>
        <scheme val="minor"/>
      </rPr>
      <t>C</t>
    </r>
  </si>
  <si>
    <t>B</t>
  </si>
  <si>
    <t>C</t>
  </si>
  <si>
    <t>Los pesos significan que para calcular A tendremos que hacer: A = 0,25*B + 0,75*C</t>
  </si>
  <si>
    <t>Es decir, C es el índice que más va a pesar para el cálculo de A.</t>
  </si>
  <si>
    <r>
      <t>El rango de importancia relativa entre dos variables de decisión se encuentra entre el valor más bajo "</t>
    </r>
    <r>
      <rPr>
        <i/>
        <sz val="14"/>
        <color theme="1"/>
        <rFont val="Calibri"/>
        <family val="2"/>
        <scheme val="minor"/>
      </rPr>
      <t>extremadamente menos importante</t>
    </r>
    <r>
      <rPr>
        <sz val="14"/>
        <color theme="1"/>
        <rFont val="Calibri"/>
        <family val="2"/>
        <scheme val="minor"/>
      </rPr>
      <t>" hasta el mayor "</t>
    </r>
    <r>
      <rPr>
        <i/>
        <sz val="14"/>
        <color theme="1"/>
        <rFont val="Calibri"/>
        <family val="2"/>
        <scheme val="minor"/>
      </rPr>
      <t>extremadamente más importante</t>
    </r>
    <r>
      <rPr>
        <sz val="14"/>
        <color theme="1"/>
        <rFont val="Calibri"/>
        <family val="2"/>
        <scheme val="minor"/>
      </rPr>
      <t>".</t>
    </r>
  </si>
  <si>
    <r>
      <t>En este ejemplo, B es "</t>
    </r>
    <r>
      <rPr>
        <i/>
        <sz val="14"/>
        <color theme="1"/>
        <rFont val="Calibri"/>
        <family val="2"/>
        <scheme val="minor"/>
      </rPr>
      <t>Algo menos Importante</t>
    </r>
    <r>
      <rPr>
        <sz val="14"/>
        <color theme="1"/>
        <rFont val="Calibri"/>
        <family val="2"/>
        <scheme val="minor"/>
      </rPr>
      <t>" que C, en el contexto de sus valores son requeridos para el cálculo de A.</t>
    </r>
  </si>
  <si>
    <r>
      <t>Se pueden para valores intermedios entre los rangos, por ejemplo, estar entre "</t>
    </r>
    <r>
      <rPr>
        <i/>
        <sz val="14"/>
        <color theme="1"/>
        <rFont val="Calibri"/>
        <family val="2"/>
        <scheme val="minor"/>
      </rPr>
      <t>bastante menos importante</t>
    </r>
    <r>
      <rPr>
        <sz val="14"/>
        <color theme="1"/>
        <rFont val="Calibri"/>
        <family val="2"/>
        <scheme val="minor"/>
      </rPr>
      <t>" y "</t>
    </r>
    <r>
      <rPr>
        <i/>
        <sz val="14"/>
        <color theme="1"/>
        <rFont val="Calibri"/>
        <family val="2"/>
        <scheme val="minor"/>
      </rPr>
      <t>algo menos importante</t>
    </r>
    <r>
      <rPr>
        <sz val="14"/>
        <color theme="1"/>
        <rFont val="Calibri"/>
        <family val="2"/>
        <scheme val="minor"/>
      </rPr>
      <t>". Basta con marcar con "x" en la celda intermedia.</t>
    </r>
  </si>
  <si>
    <t>La importancia se indica marcando una "x" en el rango de importancia relativa en la hoja "Modelo AHP". En esta hoja, sólo pueden modificarse las celdas que determinan la importancia relativa.</t>
  </si>
  <si>
    <t>Sólo debe marcarse una "x" por fila, en caso contrario aparecerá un mensaje de error en la celda a la izquierda de las variables que se están comparando.</t>
  </si>
  <si>
    <t>Se pueden ordenar los valores por cualquier columna y se ha utilizado un código de color para expresar la posición relativa.</t>
  </si>
  <si>
    <t>Goepel, Klaus D., Implementing the analytic hierarchy process as a standard method for multi-criteria decision making in corporate enterprises – a new AHP excel template with multiple inputs.</t>
  </si>
  <si>
    <t>Proceedings of the international symposium on the analytic hierarchy process, Kuala Lumpur, Malaysia, 2013</t>
  </si>
  <si>
    <t>Ishizaka A., Labib A. Review of the main developments in the analytic hierarchy process, Expert Systems with Applications, 38(11), 14336-14345, 2011</t>
  </si>
  <si>
    <t>Grupo de Ingeligencia Artificial Aplicada</t>
  </si>
  <si>
    <t>www.giaa.inf.uc3m.es</t>
  </si>
  <si>
    <t>Se calcula un índice de coherencia de los juicios realizados llamado "Coherencia Saaty".  Se aplica a comparaciones en las que están involucradas mas de dos variables.</t>
  </si>
  <si>
    <t>El rango de color toma para el amarillo el valor medio, el rojo intenso para el peor valor (en este contexto, el valor mayor) y el verde intenso para el mejor valor (en este contexto será el valor menor).</t>
  </si>
  <si>
    <t xml:space="preserve">Saaty, T. L. (2008). Relative Measurement and its Generalization in Decision Making: Why Pairwise Comparisons are Central in Mathematics for the Measurement of Intangible Factors -- The Analytic Hierarchy/Network </t>
  </si>
  <si>
    <t xml:space="preserve">Process. Revista de la Real Academia de Ciencias Exactas, Físicas y Naturales. Serie A: Matemáticas (RACSAM), 102, 251--318. </t>
  </si>
  <si>
    <t>Autores</t>
  </si>
  <si>
    <t>Jose Manuel Molina</t>
  </si>
  <si>
    <t>Antonio Berlanga</t>
  </si>
  <si>
    <t>Miguel Ángel Patricio</t>
  </si>
  <si>
    <t>Los cálculos de las variables se presentan en la hoja "Índices y Ranking Barrio". Se muestran las variables con los valores de entrada (color azul) las intermedias (amarillo) y finálmente el valor de "Vulnerabilidad"</t>
  </si>
  <si>
    <t>Presupuesto</t>
  </si>
  <si>
    <t>Histograma Presupuesto</t>
  </si>
  <si>
    <t>Histograma Vulnerabilidad sin corte</t>
  </si>
  <si>
    <t>Modelo AHP</t>
  </si>
  <si>
    <t>Índices y Ranking Barrio</t>
  </si>
  <si>
    <t>Los valores calculados se obtienen normalizados a 1. Por tanto, si un barrio tiene un valor para una variable calculada que es el doble que otro, significa que en comparación, es el doble peor.</t>
  </si>
  <si>
    <t>Tasa demanda Dependientes</t>
  </si>
  <si>
    <t>Estatus Socio-económico</t>
  </si>
  <si>
    <t>Familas perceptoras renta mínima</t>
  </si>
  <si>
    <t>Renta media hogar</t>
  </si>
  <si>
    <t>Renta media hogar Corregida</t>
  </si>
  <si>
    <t>Esperanza de vida</t>
  </si>
  <si>
    <t>Tasa paro Absoluto</t>
  </si>
  <si>
    <t>Número Parados sin prestación</t>
  </si>
  <si>
    <t>Leyenda Vulnerabilidad</t>
  </si>
  <si>
    <t>Tasa Superficie Vulnerable</t>
  </si>
  <si>
    <t>Desarrollo Urbano</t>
  </si>
  <si>
    <r>
      <t xml:space="preserve">Estatus Socio-económico </t>
    </r>
    <r>
      <rPr>
        <sz val="12"/>
        <color theme="1"/>
        <rFont val="Calibri"/>
        <family val="2"/>
        <scheme val="minor"/>
      </rPr>
      <t xml:space="preserve">frente a </t>
    </r>
    <r>
      <rPr>
        <b/>
        <sz val="12"/>
        <color theme="1"/>
        <rFont val="Calibri"/>
        <family val="2"/>
        <scheme val="minor"/>
      </rPr>
      <t>Desarrollo Urbano</t>
    </r>
  </si>
  <si>
    <r>
      <t>Actividad Económica</t>
    </r>
    <r>
      <rPr>
        <sz val="12"/>
        <color theme="1"/>
        <rFont val="Calibri"/>
        <family val="2"/>
        <scheme val="minor"/>
      </rPr>
      <t xml:space="preserve"> frente a </t>
    </r>
    <r>
      <rPr>
        <b/>
        <sz val="12"/>
        <color theme="1"/>
        <rFont val="Calibri"/>
        <family val="2"/>
        <scheme val="minor"/>
      </rPr>
      <t>Desarrollo Urbano</t>
    </r>
  </si>
  <si>
    <t>Necesidades Asistenciales</t>
  </si>
  <si>
    <r>
      <t>Población</t>
    </r>
    <r>
      <rPr>
        <sz val="12"/>
        <color theme="1"/>
        <rFont val="Calibri"/>
        <family val="2"/>
        <scheme val="minor"/>
      </rPr>
      <t xml:space="preserve"> frente a </t>
    </r>
    <r>
      <rPr>
        <b/>
        <sz val="12"/>
        <color theme="1"/>
        <rFont val="Calibri"/>
        <family val="2"/>
        <scheme val="minor"/>
      </rPr>
      <t>Necesidades Asistenciales</t>
    </r>
  </si>
  <si>
    <r>
      <t>Estatus Socio-económico</t>
    </r>
    <r>
      <rPr>
        <sz val="12"/>
        <color theme="1"/>
        <rFont val="Calibri"/>
        <family val="2"/>
        <scheme val="minor"/>
      </rPr>
      <t xml:space="preserve"> frente a</t>
    </r>
    <r>
      <rPr>
        <b/>
        <sz val="12"/>
        <color theme="1"/>
        <rFont val="Calibri"/>
        <family val="2"/>
        <scheme val="minor"/>
      </rPr>
      <t xml:space="preserve"> Necesidades Asistenciales</t>
    </r>
  </si>
  <si>
    <r>
      <t>Actividad Económica</t>
    </r>
    <r>
      <rPr>
        <sz val="12"/>
        <color theme="1"/>
        <rFont val="Calibri"/>
        <family val="2"/>
        <scheme val="minor"/>
      </rPr>
      <t xml:space="preserve"> frente a </t>
    </r>
    <r>
      <rPr>
        <b/>
        <sz val="12"/>
        <color theme="1"/>
        <rFont val="Calibri"/>
        <family val="2"/>
        <scheme val="minor"/>
      </rPr>
      <t>Necesidades Asistenciales</t>
    </r>
  </si>
  <si>
    <r>
      <t>Desarrollo Urbano</t>
    </r>
    <r>
      <rPr>
        <sz val="12"/>
        <color theme="1"/>
        <rFont val="Calibri"/>
        <family val="2"/>
        <scheme val="minor"/>
      </rPr>
      <t xml:space="preserve"> frente a </t>
    </r>
    <r>
      <rPr>
        <b/>
        <sz val="12"/>
        <color theme="1"/>
        <rFont val="Calibri"/>
        <family val="2"/>
        <scheme val="minor"/>
      </rPr>
      <t>Necesidades Asistenciales</t>
    </r>
  </si>
  <si>
    <t>(valores por debajo de 10% se consideran consistentes)</t>
  </si>
  <si>
    <t>Tasa SAD Dependencia</t>
  </si>
  <si>
    <t>Tasa Teleasistencia Dependencia</t>
  </si>
  <si>
    <t>Tasa Paro 45-60</t>
  </si>
  <si>
    <t>Tasa Demanda Dependientes</t>
  </si>
  <si>
    <r>
      <t>Tasa Demanda Dependientes</t>
    </r>
    <r>
      <rPr>
        <sz val="12"/>
        <color theme="1"/>
        <rFont val="Calibri"/>
        <family val="2"/>
        <scheme val="minor"/>
      </rPr>
      <t xml:space="preserve"> frente a </t>
    </r>
    <r>
      <rPr>
        <b/>
        <sz val="12"/>
        <color theme="1"/>
        <rFont val="Calibri"/>
        <family val="2"/>
        <scheme val="minor"/>
      </rPr>
      <t>Familas perceptoras renta mínima</t>
    </r>
  </si>
  <si>
    <r>
      <t xml:space="preserve">Tasa Demanda Dependientes </t>
    </r>
    <r>
      <rPr>
        <sz val="12"/>
        <color theme="1"/>
        <rFont val="Calibri"/>
        <family val="2"/>
        <scheme val="minor"/>
      </rPr>
      <t xml:space="preserve">frente a </t>
    </r>
    <r>
      <rPr>
        <b/>
        <sz val="12"/>
        <color theme="1"/>
        <rFont val="Calibri"/>
        <family val="2"/>
        <scheme val="minor"/>
      </rPr>
      <t>Tasa SAD Dependencia</t>
    </r>
  </si>
  <si>
    <r>
      <t xml:space="preserve">Tasa Demanda Dependientes </t>
    </r>
    <r>
      <rPr>
        <sz val="12"/>
        <color theme="1"/>
        <rFont val="Calibri"/>
        <family val="2"/>
        <scheme val="minor"/>
      </rPr>
      <t xml:space="preserve">frente a </t>
    </r>
    <r>
      <rPr>
        <b/>
        <sz val="12"/>
        <color theme="1"/>
        <rFont val="Calibri"/>
        <family val="2"/>
        <scheme val="minor"/>
      </rPr>
      <t>Tasa Teleasistencia Dependencia</t>
    </r>
  </si>
  <si>
    <r>
      <t xml:space="preserve">Familas perceptoras renta mínima </t>
    </r>
    <r>
      <rPr>
        <sz val="12"/>
        <color theme="1"/>
        <rFont val="Calibri"/>
        <family val="2"/>
        <scheme val="minor"/>
      </rPr>
      <t xml:space="preserve">frente a </t>
    </r>
    <r>
      <rPr>
        <b/>
        <sz val="12"/>
        <color theme="1"/>
        <rFont val="Calibri"/>
        <family val="2"/>
        <scheme val="minor"/>
      </rPr>
      <t>Tasa Teleasistencia Dependencia</t>
    </r>
  </si>
  <si>
    <r>
      <t xml:space="preserve">Familas perceptoras renta mínima </t>
    </r>
    <r>
      <rPr>
        <sz val="12"/>
        <color theme="1"/>
        <rFont val="Calibri"/>
        <family val="2"/>
        <scheme val="minor"/>
      </rPr>
      <t xml:space="preserve">frente a </t>
    </r>
    <r>
      <rPr>
        <b/>
        <sz val="12"/>
        <color theme="1"/>
        <rFont val="Calibri"/>
        <family val="2"/>
        <scheme val="minor"/>
      </rPr>
      <t>Tasa SAD Dependencia</t>
    </r>
  </si>
  <si>
    <r>
      <t xml:space="preserve">Tasa SAD Dependencia </t>
    </r>
    <r>
      <rPr>
        <sz val="12"/>
        <color theme="1"/>
        <rFont val="Calibri"/>
        <family val="2"/>
        <scheme val="minor"/>
      </rPr>
      <t xml:space="preserve">frente a </t>
    </r>
    <r>
      <rPr>
        <b/>
        <sz val="12"/>
        <color theme="1"/>
        <rFont val="Calibri"/>
        <family val="2"/>
        <scheme val="minor"/>
      </rPr>
      <t>Tasa Teleasistencia Dependencia</t>
    </r>
  </si>
  <si>
    <t>Leyenda para gráfico</t>
  </si>
  <si>
    <t>Distrito</t>
  </si>
  <si>
    <t>Sin Estudios o Primarios</t>
  </si>
  <si>
    <t>Tasa de Parados Sin Prestación</t>
  </si>
  <si>
    <r>
      <t>Esperanza de vida</t>
    </r>
    <r>
      <rPr>
        <sz val="12"/>
        <color theme="1"/>
        <rFont val="Calibri"/>
        <family val="2"/>
        <scheme val="minor"/>
      </rPr>
      <t xml:space="preserve"> frente a </t>
    </r>
    <r>
      <rPr>
        <b/>
        <sz val="12"/>
        <color theme="1"/>
        <rFont val="Calibri"/>
        <family val="2"/>
        <scheme val="minor"/>
      </rPr>
      <t>Sin Estudios o Primarios</t>
    </r>
  </si>
  <si>
    <r>
      <t xml:space="preserve">Tasa de Paro </t>
    </r>
    <r>
      <rPr>
        <sz val="12"/>
        <color theme="1"/>
        <rFont val="Calibri"/>
        <family val="2"/>
        <scheme val="minor"/>
      </rPr>
      <t xml:space="preserve">frente a </t>
    </r>
    <r>
      <rPr>
        <b/>
        <sz val="12"/>
        <color theme="1"/>
        <rFont val="Calibri"/>
        <family val="2"/>
        <scheme val="minor"/>
      </rPr>
      <t>Tasa de Parados sin Prestación</t>
    </r>
  </si>
  <si>
    <t>Tasa Parados sin Prestación</t>
  </si>
  <si>
    <t>Tasa de Parados sin Prestación</t>
  </si>
  <si>
    <t>Presupuesto Escenario1</t>
  </si>
  <si>
    <t>Leyenda presupuesto escenario 1</t>
  </si>
  <si>
    <t>Leyenda escenario 1</t>
  </si>
  <si>
    <t>Conteo escenario 1</t>
  </si>
  <si>
    <t>Presupuesto Escenario Agresivo</t>
  </si>
  <si>
    <t>Presupuesto Escenario 1</t>
  </si>
  <si>
    <t>orden por presupuesto 1</t>
  </si>
  <si>
    <t>Tasa Inmigrantes</t>
  </si>
  <si>
    <r>
      <t>Tasa Inmigrantes</t>
    </r>
    <r>
      <rPr>
        <sz val="12"/>
        <color theme="1"/>
        <rFont val="Calibri"/>
        <family val="2"/>
        <scheme val="minor"/>
      </rPr>
      <t xml:space="preserve"> frente a </t>
    </r>
    <r>
      <rPr>
        <b/>
        <sz val="12"/>
        <color theme="1"/>
        <rFont val="Calibri"/>
        <family val="2"/>
        <scheme val="minor"/>
      </rPr>
      <t>Esperanza de Vida</t>
    </r>
  </si>
  <si>
    <r>
      <t>Tasa Inmigrantes</t>
    </r>
    <r>
      <rPr>
        <sz val="12"/>
        <color theme="1"/>
        <rFont val="Calibri"/>
        <family val="2"/>
        <scheme val="minor"/>
      </rPr>
      <t xml:space="preserve"> frente a </t>
    </r>
    <r>
      <rPr>
        <b/>
        <sz val="12"/>
        <color theme="1"/>
        <rFont val="Calibri"/>
        <family val="2"/>
        <scheme val="minor"/>
      </rPr>
      <t>Sin Estudios o Primarios</t>
    </r>
  </si>
  <si>
    <t>Tasa Paro mayores 45</t>
  </si>
  <si>
    <r>
      <t>Tasa de Paro</t>
    </r>
    <r>
      <rPr>
        <sz val="12"/>
        <color theme="1"/>
        <rFont val="Calibri"/>
        <family val="2"/>
        <scheme val="minor"/>
      </rPr>
      <t xml:space="preserve"> frente a </t>
    </r>
    <r>
      <rPr>
        <b/>
        <sz val="12"/>
        <color theme="1"/>
        <rFont val="Calibri"/>
        <family val="2"/>
        <scheme val="minor"/>
      </rPr>
      <t>Tasa Paro mayores 45</t>
    </r>
  </si>
  <si>
    <r>
      <t>Tasa Paro mayores 45</t>
    </r>
    <r>
      <rPr>
        <sz val="12"/>
        <color theme="1"/>
        <rFont val="Calibri"/>
        <family val="2"/>
        <scheme val="minor"/>
      </rPr>
      <t xml:space="preserve"> frente a </t>
    </r>
    <r>
      <rPr>
        <b/>
        <sz val="12"/>
        <color theme="1"/>
        <rFont val="Calibri"/>
        <family val="2"/>
        <scheme val="minor"/>
      </rPr>
      <t>Tasa Parados sin Prestación</t>
    </r>
  </si>
  <si>
    <t>Valor Catastral</t>
  </si>
  <si>
    <t>Valor Catastral Corregido</t>
  </si>
  <si>
    <t>Matriz de correlación</t>
  </si>
  <si>
    <t>Proporción de inmigrantes (Extranjeros menos UE y resto países de OCDE/Población total)</t>
  </si>
  <si>
    <t>Fuente</t>
  </si>
  <si>
    <t>Nombre Indicador</t>
  </si>
  <si>
    <t>Descripción</t>
  </si>
  <si>
    <t>Fecha</t>
  </si>
  <si>
    <t>Ayuntamiento de Madrid. Subdirección General de Estadística</t>
  </si>
  <si>
    <t>Auxiliar</t>
  </si>
  <si>
    <t xml:space="preserve">Padrón Municipal de Habitantes </t>
  </si>
  <si>
    <t>Fuentes de datos</t>
  </si>
  <si>
    <t>Se muestran los datos de los indicadores que se han utilizado para realizar los cálculos, así como la procedencia de los mismos.</t>
  </si>
  <si>
    <t>control</t>
  </si>
  <si>
    <t>Índices</t>
  </si>
  <si>
    <t>aux</t>
  </si>
  <si>
    <t>Leyenda escenario reequilibrio</t>
  </si>
  <si>
    <t>Leyenda presupuesto escenario reequilibrio</t>
  </si>
  <si>
    <t>Conteo escenario reequilibrio</t>
  </si>
  <si>
    <t>orden por presupuesto reequilibrio</t>
  </si>
  <si>
    <t>Presupuesto Escenario reequilibrio</t>
  </si>
  <si>
    <t>escenario reequilibrio</t>
  </si>
  <si>
    <t>escenario 1</t>
  </si>
  <si>
    <t>Conteo Presupuesto 2016</t>
  </si>
  <si>
    <t>orden por vulnerabilidad</t>
  </si>
  <si>
    <t>Reequilibrio</t>
  </si>
  <si>
    <t>orden por 2016</t>
  </si>
  <si>
    <t>Jesús Gutiérrez Villalta</t>
  </si>
  <si>
    <t>Ester García Sánchez</t>
  </si>
  <si>
    <t>Roberto Losada Maestre</t>
  </si>
  <si>
    <t>Rubén Sánchez Medero</t>
  </si>
  <si>
    <t>Un resultado aceptable para el valor de coherencia Saaty es cuando es menor de 10%.</t>
  </si>
  <si>
    <t>Desarrollo Urbanístico</t>
  </si>
  <si>
    <t>Gema Sánchez Medero</t>
  </si>
  <si>
    <t>Dpto. de Ciencia Política y de la Administración II (UCM)</t>
  </si>
  <si>
    <t>Dpto. Ciencias Sociales (UC3M)</t>
  </si>
  <si>
    <t>Dpto. Informática (UC3M)</t>
  </si>
  <si>
    <r>
      <t>Población</t>
    </r>
    <r>
      <rPr>
        <sz val="12"/>
        <color theme="1"/>
        <rFont val="Calibri"/>
        <family val="2"/>
        <scheme val="minor"/>
      </rPr>
      <t xml:space="preserve"> frente a </t>
    </r>
    <r>
      <rPr>
        <b/>
        <sz val="12"/>
        <color theme="1"/>
        <rFont val="Calibri"/>
        <family val="2"/>
        <scheme val="minor"/>
      </rPr>
      <t>Desarrollo Urbanístico</t>
    </r>
  </si>
  <si>
    <t>Porcentaje de personas sin estudios o con primarios/Población de 25 y más años</t>
  </si>
  <si>
    <t>Renta neta media de los hogares (Urban audit)</t>
  </si>
  <si>
    <t>Porcentaje de parados/Población activa</t>
  </si>
  <si>
    <t>Porcentaje de parados mayores de 45 años/Población activa</t>
  </si>
  <si>
    <t>Valor medio de los bienes inmuebles (personas físicas)</t>
  </si>
  <si>
    <t>Número de habitantes</t>
  </si>
  <si>
    <t>Urban Audit - INE. Elaboración: Ayuntamiento de Madrid. Subdirección General de Estadística</t>
  </si>
  <si>
    <t>Servicio Público de Empleo Estatal. Elaboración: Ayuntamiento de Madrid. Subdirección General de Estadística.</t>
  </si>
  <si>
    <t>Ayuntamiento de Madrid. Agencia Tributaria. Elaboración: Subdirección General de Estadística.</t>
  </si>
  <si>
    <t>Tasa inmigrantes</t>
  </si>
  <si>
    <t>Sin estudios o primarios</t>
  </si>
  <si>
    <t>Tasa paro absoluto</t>
  </si>
  <si>
    <t>Tasa paro mayores 45</t>
  </si>
  <si>
    <t>Tasa de parados sin prestación</t>
  </si>
  <si>
    <t>Valor catastral bienes inmuebles</t>
  </si>
  <si>
    <t>Ayuntamiento de Madrid. Madrid Salud</t>
  </si>
  <si>
    <t>Solicitudes de dependencia por distrito</t>
  </si>
  <si>
    <t>Familias perceptoras de RMI por distrito</t>
  </si>
  <si>
    <t>Beneficiarios del Ayto de Madrid del Servicio de Ayuda a Domicilio por dependencia (dato por distrito)</t>
  </si>
  <si>
    <t>Beneficiarios del Ayto de Madrid del Servicio de Teleasistencia por dependencia (dato por distrito)</t>
  </si>
  <si>
    <t>Ayuntamiento de Madrid. Dirección General de Personas Mayores y Servicios Sociales</t>
  </si>
  <si>
    <t xml:space="preserve">   022. Las Acacias</t>
  </si>
  <si>
    <t xml:space="preserve">   023. La Chopera</t>
  </si>
  <si>
    <t xml:space="preserve">   025. Las Delicias</t>
  </si>
  <si>
    <t xml:space="preserve">   033. La Estrella</t>
  </si>
  <si>
    <t xml:space="preserve">   035. Los Jerónimos</t>
  </si>
  <si>
    <t xml:space="preserve">   084. Del Pilar</t>
  </si>
  <si>
    <t xml:space="preserve">   101. Los Cármenes</t>
  </si>
  <si>
    <t xml:space="preserve">   102. Puerta del Ángel</t>
  </si>
  <si>
    <t xml:space="preserve">   126. Zofío</t>
  </si>
  <si>
    <t xml:space="preserve">   154. La Concepción</t>
  </si>
  <si>
    <t xml:space="preserve">   171. Villaverde Alto, C.H. Villaverde</t>
  </si>
  <si>
    <t xml:space="preserve">   183. Ensanche de Vallecas</t>
  </si>
  <si>
    <t xml:space="preserve">   192. Valdebernardo</t>
  </si>
  <si>
    <t xml:space="preserve">   193. Valderrivas</t>
  </si>
  <si>
    <t xml:space="preserve">   194. El Cañaveral</t>
  </si>
  <si>
    <t xml:space="preserve">   208. El Salvador</t>
  </si>
  <si>
    <t>Parados sin prestación (por distrito) /Población activa (16-64 años)</t>
  </si>
  <si>
    <t>De la matriz de datos se puede obtener los pesos que tendrá cada variable. Siguiendo con el ejemplo: La importancia relativa se traduce en un número en una matriz de datos.</t>
  </si>
  <si>
    <t>Índices y Ranking Distrito</t>
  </si>
  <si>
    <t>Aux</t>
  </si>
  <si>
    <t>En la hoja denominada aux se encuentran tablas de datos y formulación complementaria para ejecutar los Indices y el Ranking de Barrio. Es la tabla de elaboración.</t>
  </si>
  <si>
    <t>Bibliografía seleccionada</t>
  </si>
  <si>
    <t>Coordinación del informe</t>
  </si>
  <si>
    <t xml:space="preserve">Diseño y maquetación </t>
  </si>
  <si>
    <t xml:space="preserve">Javier Ubeda Diaz. Administración. Servicio de Estudios y Evaluación Territorial. </t>
  </si>
  <si>
    <r>
      <rPr>
        <b/>
        <sz val="18"/>
        <color theme="1"/>
        <rFont val="Calibri"/>
        <family val="2"/>
        <scheme val="minor"/>
      </rPr>
      <t>Informe detallado de la metodologia disponible en</t>
    </r>
    <r>
      <rPr>
        <sz val="18"/>
        <color theme="1"/>
        <rFont val="Calibri"/>
        <family val="2"/>
        <scheme val="minor"/>
      </rPr>
      <t xml:space="preserve">: </t>
    </r>
    <r>
      <rPr>
        <sz val="12"/>
        <color theme="1"/>
        <rFont val="Calibri"/>
        <family val="2"/>
        <scheme val="minor"/>
      </rPr>
      <t xml:space="preserve">https: </t>
    </r>
    <r>
      <rPr>
        <i/>
        <sz val="12"/>
        <color theme="1"/>
        <rFont val="Calibri"/>
        <family val="2"/>
        <scheme val="minor"/>
      </rPr>
      <t>IndiceVulnerabilidad (IV-R). Pdf</t>
    </r>
  </si>
  <si>
    <t xml:space="preserve">  </t>
  </si>
  <si>
    <t>Área Delegada de Coordinación Territorial, Transparencia y Participación Ciudadana                  D.G. de Coordinación Territorial y Desconcentración                                                                  Servicio de Estudios y Evaluación Territorial</t>
  </si>
  <si>
    <t>1 de enero de 2019</t>
  </si>
  <si>
    <t>Esperanza de vida al nacer. 2013 - 2016</t>
  </si>
  <si>
    <t>2013-2016</t>
  </si>
  <si>
    <t>Febrero 2020</t>
  </si>
  <si>
    <t xml:space="preserve"> 2019</t>
  </si>
  <si>
    <t>En esta tabla mostramos los valores del indicador de vulnerabilidad  2020 por los distritos de la Ciudad, que se extraen del computo medio de cada uno de los barrios que los conforman.</t>
  </si>
  <si>
    <t>Ranking Vulnerabilidad 2020</t>
  </si>
  <si>
    <t xml:space="preserve">Mercedes Esteban y Peña. Jefa de Departamento de Estudios Territoriales. Dirección General de Desconcentración y Acción Territorial. Área Delegada de Coordinación, Transparencia y Participación Ciudadana. Ayto de Madrid. </t>
  </si>
  <si>
    <t>Elena Fernandez Velasco. Técnico Superior Sociólogo. Servicio de Estudios y Evaluación Territorial. Dirección General de Desconcentración y Accion Territorial. Área Delegada de Coordinación, Transparencia y Participación Ciudadana. Ayto de Madrid.</t>
  </si>
  <si>
    <t xml:space="preserve">Jose Luis Gíl Bermejo. Adjunto al Departamento. Dirección General de Desconcentracion y Acción Territorial. Área Delegada de Coordinación, Transparencia y Participación Ciudadana. Ayto de Madrid. </t>
  </si>
  <si>
    <t>Luis Miguel Palomares Martín. Jefe de Servicio de Estudios y Evaluación Territorial. Dirección General de Desconcentracion y Acción Territorial. Área Delegada de Coordinación, Transparencia y Participación Ciudadana. Ayto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</si>
</sst>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0.0000"/>
    <numFmt numFmtId="166" formatCode="0.00000"/>
    <numFmt numFmtId="167" formatCode="0.0%"/>
    <numFmt numFmtId="168" formatCode="0.0"/>
    <numFmt numFmtId="169" formatCode="_-* #,##0\ &quot;€&quot;_-;\-* #,##0\ &quot;€&quot;_-;_-* &quot;-&quot;??\ &quot;€&quot;_-;_-@_-"/>
    <numFmt numFmtId="170" formatCode="0.000"/>
    <numFmt numFmtId="171" formatCode="0.000000"/>
    <numFmt numFmtId="172" formatCode="#,##0\ &quot;€&quot;"/>
    <numFmt numFmtId="173" formatCode="_-* #,##0\ _€_-;\-* #,##0\ _€_-;_-* &quot;-&quot;??\ _€_-;_-@_-"/>
  </numFmts>
  <fonts count="47">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sz val="18"/>
      <color theme="1"/>
      <name val="Calibri"/>
      <family val="2"/>
      <scheme val="minor"/>
    </font>
    <font>
      <b/>
      <i/>
      <sz val="12"/>
      <color theme="1"/>
      <name val="Calibri"/>
      <family val="2"/>
      <scheme val="minor"/>
    </font>
    <font>
      <sz val="18"/>
      <color theme="1"/>
      <name val="Calibri"/>
      <family val="2"/>
      <scheme val="minor"/>
    </font>
    <font>
      <b/>
      <sz val="20"/>
      <color theme="1"/>
      <name val="Calibri"/>
      <family val="2"/>
      <scheme val="minor"/>
    </font>
    <font>
      <i/>
      <sz val="12"/>
      <color theme="1"/>
      <name val="Calibri"/>
      <family val="2"/>
      <scheme val="minor"/>
    </font>
    <font>
      <sz val="12"/>
      <name val="Calibri"/>
      <family val="2"/>
      <scheme val="minor"/>
    </font>
    <font>
      <sz val="11"/>
      <color theme="1"/>
      <name val="Calibri"/>
      <family val="2"/>
      <scheme val="minor"/>
    </font>
    <font>
      <sz val="14"/>
      <color theme="1"/>
      <name val="Calibri"/>
      <family val="2"/>
      <scheme val="minor"/>
    </font>
    <font>
      <sz val="36"/>
      <color theme="1"/>
      <name val="Calibri"/>
      <family val="2"/>
      <scheme val="minor"/>
    </font>
    <font>
      <i/>
      <sz val="10"/>
      <color theme="1"/>
      <name val="Calibri"/>
      <family val="2"/>
      <scheme val="minor"/>
    </font>
    <font>
      <b/>
      <i/>
      <sz val="11"/>
      <color theme="1"/>
      <name val="Calibri"/>
      <family val="2"/>
      <scheme val="minor"/>
    </font>
    <font>
      <sz val="10"/>
      <color theme="1"/>
      <name val="Calibri"/>
      <family val="2"/>
      <scheme val="minor"/>
    </font>
    <font>
      <i/>
      <sz val="14"/>
      <color theme="1"/>
      <name val="Calibri"/>
      <family val="2"/>
      <scheme val="minor"/>
    </font>
    <font>
      <u/>
      <sz val="12"/>
      <color theme="10"/>
      <name val="Calibri"/>
      <family val="2"/>
      <scheme val="minor"/>
    </font>
    <font>
      <u/>
      <sz val="11"/>
      <color theme="10"/>
      <name val="Calibri"/>
      <family val="2"/>
      <scheme val="minor"/>
    </font>
    <font>
      <b/>
      <sz val="14"/>
      <color theme="1"/>
      <name val="Calibri"/>
      <family val="2"/>
      <scheme val="minor"/>
    </font>
    <font>
      <b/>
      <sz val="11"/>
      <color theme="4" tint="-0.499984740745262"/>
      <name val="Calibri"/>
      <family val="2"/>
      <scheme val="minor"/>
    </font>
    <font>
      <sz val="8"/>
      <color theme="4" tint="-0.499984740745262"/>
      <name val="Calibri"/>
      <family val="2"/>
      <scheme val="minor"/>
    </font>
    <font>
      <b/>
      <sz val="10"/>
      <color theme="4" tint="-0.499984740745262"/>
      <name val="Calibri"/>
      <family val="2"/>
      <scheme val="minor"/>
    </font>
    <font>
      <b/>
      <sz val="10"/>
      <color theme="3"/>
      <name val="Calibri"/>
      <family val="2"/>
      <scheme val="minor"/>
    </font>
    <font>
      <u/>
      <sz val="12"/>
      <color theme="11"/>
      <name val="Calibri"/>
      <family val="2"/>
      <scheme val="minor"/>
    </font>
    <font>
      <sz val="24"/>
      <color theme="1"/>
      <name val="Calibri"/>
      <family val="2"/>
      <scheme val="minor"/>
    </font>
    <font>
      <sz val="22"/>
      <color theme="1"/>
      <name val="Calibri"/>
      <family val="2"/>
      <scheme val="minor"/>
    </font>
    <font>
      <b/>
      <sz val="11"/>
      <color theme="1"/>
      <name val="Calibri"/>
      <family val="2"/>
      <scheme val="minor"/>
    </font>
    <font>
      <sz val="9"/>
      <color theme="4" tint="-0.499984740745262"/>
      <name val="Calibri"/>
      <family val="2"/>
      <scheme val="minor"/>
    </font>
    <font>
      <sz val="18"/>
      <name val="Calibri"/>
      <family val="2"/>
      <scheme val="minor"/>
    </font>
    <font>
      <sz val="10"/>
      <name val="Calibri"/>
      <family val="2"/>
      <scheme val="minor"/>
    </font>
    <font>
      <sz val="10"/>
      <color theme="4" tint="-0.499984740745262"/>
      <name val="Calibri"/>
      <family val="2"/>
      <scheme val="minor"/>
    </font>
    <font>
      <b/>
      <sz val="24"/>
      <color theme="2" tint="-0.499984740745262"/>
      <name val="Calibri"/>
      <family val="2"/>
      <scheme val="minor"/>
    </font>
    <font>
      <sz val="12"/>
      <color theme="1"/>
      <name val="Times New Roman"/>
      <family val="1"/>
    </font>
    <font>
      <sz val="9"/>
      <color rgb="FF0081C4"/>
      <name val="Times New Roman"/>
      <family val="1"/>
    </font>
    <font>
      <i/>
      <sz val="9"/>
      <color theme="1"/>
      <name val="Gill Sans MT"/>
      <family val="2"/>
    </font>
    <font>
      <b/>
      <sz val="18"/>
      <color theme="2" tint="-0.499984740745262"/>
      <name val="Calibri"/>
      <family val="2"/>
      <scheme val="minor"/>
    </font>
    <font>
      <u/>
      <sz val="18"/>
      <color theme="10"/>
      <name val="Calibri"/>
      <family val="2"/>
      <scheme val="minor"/>
    </font>
    <font>
      <b/>
      <i/>
      <sz val="24"/>
      <color theme="8" tint="-0.249977111117893"/>
      <name val="Gill Sans MT"/>
      <family val="2"/>
    </font>
    <font>
      <sz val="11"/>
      <name val="Calibri"/>
      <family val="2"/>
      <scheme val="minor"/>
    </font>
    <font>
      <b/>
      <sz val="12"/>
      <color theme="4" tint="-0.499984740745262"/>
      <name val="Calibri"/>
      <family val="2"/>
      <scheme val="minor"/>
    </font>
    <font>
      <b/>
      <sz val="12"/>
      <color theme="3"/>
      <name val="Calibri"/>
      <family val="2"/>
      <scheme val="minor"/>
    </font>
    <font>
      <b/>
      <sz val="12"/>
      <color theme="4" tint="-0.499984740745262"/>
      <name val="Calibri (Cuerpo)"/>
    </font>
  </fonts>
  <fills count="18">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8BEB5"/>
        <bgColor indexed="64"/>
      </patternFill>
    </fill>
    <fill>
      <patternFill patternType="solid">
        <fgColor rgb="FFFCF4F0"/>
        <bgColor indexed="64"/>
      </patternFill>
    </fill>
    <fill>
      <patternFill patternType="solid">
        <fgColor rgb="FFFFFCF3"/>
        <bgColor indexed="64"/>
      </patternFill>
    </fill>
    <fill>
      <patternFill patternType="solid">
        <fgColor rgb="FFF8FFF3"/>
        <bgColor indexed="64"/>
      </patternFill>
    </fill>
    <fill>
      <patternFill patternType="solid">
        <fgColor rgb="FFF08A53"/>
        <bgColor indexed="64"/>
      </patternFill>
    </fill>
    <fill>
      <patternFill patternType="solid">
        <fgColor rgb="FFFFC742"/>
        <bgColor indexed="64"/>
      </patternFill>
    </fill>
    <fill>
      <patternFill patternType="solid">
        <fgColor rgb="FFFFFF00"/>
        <bgColor indexed="64"/>
      </patternFill>
    </fill>
    <fill>
      <patternFill patternType="solid">
        <fgColor rgb="FFFFBEA9"/>
        <bgColor indexed="64"/>
      </patternFill>
    </fill>
    <fill>
      <patternFill patternType="solid">
        <fgColor theme="0"/>
        <bgColor indexed="64"/>
      </patternFill>
    </fill>
  </fills>
  <borders count="68">
    <border>
      <left/>
      <right/>
      <top/>
      <bottom/>
      <diagonal/>
    </border>
    <border>
      <left/>
      <right/>
      <top style="thin">
        <color auto="1"/>
      </top>
      <bottom style="thin">
        <color auto="1"/>
      </bottom>
      <diagonal/>
    </border>
    <border>
      <left/>
      <right/>
      <top style="thin">
        <color auto="1"/>
      </top>
      <bottom style="double">
        <color auto="1"/>
      </bottom>
      <diagonal/>
    </border>
    <border>
      <left/>
      <right/>
      <top/>
      <bottom style="thin">
        <color auto="1"/>
      </bottom>
      <diagonal/>
    </border>
    <border>
      <left style="thin">
        <color auto="1"/>
      </left>
      <right/>
      <top/>
      <bottom/>
      <diagonal/>
    </border>
    <border>
      <left/>
      <right/>
      <top style="thin">
        <color auto="1"/>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auto="1"/>
      </top>
      <bottom style="double">
        <color auto="1"/>
      </bottom>
      <diagonal/>
    </border>
    <border>
      <left style="thin">
        <color theme="0"/>
      </left>
      <right style="thin">
        <color theme="0"/>
      </right>
      <top style="thin">
        <color auto="1"/>
      </top>
      <bottom style="double">
        <color auto="1"/>
      </bottom>
      <diagonal/>
    </border>
    <border>
      <left style="thin">
        <color theme="0"/>
      </left>
      <right/>
      <top style="thin">
        <color auto="1"/>
      </top>
      <bottom style="double">
        <color auto="1"/>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double">
        <color auto="1"/>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bottom/>
      <diagonal/>
    </border>
    <border>
      <left/>
      <right style="thick">
        <color auto="1"/>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style="thin">
        <color theme="0"/>
      </top>
      <bottom style="thin">
        <color theme="0"/>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thick">
        <color theme="0"/>
      </left>
      <right style="thick">
        <color theme="0"/>
      </right>
      <top style="thick">
        <color theme="0"/>
      </top>
      <bottom style="thin">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auto="1"/>
      </right>
      <top style="thick">
        <color theme="0"/>
      </top>
      <bottom style="thick">
        <color theme="0"/>
      </bottom>
      <diagonal/>
    </border>
    <border>
      <left style="thick">
        <color theme="0"/>
      </left>
      <right/>
      <top/>
      <bottom style="thick">
        <color theme="0"/>
      </bottom>
      <diagonal/>
    </border>
    <border>
      <left/>
      <right/>
      <top style="thick">
        <color theme="0"/>
      </top>
      <bottom style="thick">
        <color theme="0"/>
      </bottom>
      <diagonal/>
    </border>
    <border>
      <left style="thin">
        <color theme="0"/>
      </left>
      <right style="thick">
        <color theme="0"/>
      </right>
      <top style="thick">
        <color theme="0"/>
      </top>
      <bottom style="thin">
        <color theme="0"/>
      </bottom>
      <diagonal/>
    </border>
    <border>
      <left style="thin">
        <color theme="0"/>
      </left>
      <right style="thin">
        <color theme="0"/>
      </right>
      <top/>
      <bottom style="double">
        <color auto="1"/>
      </bottom>
      <diagonal/>
    </border>
    <border>
      <left/>
      <right/>
      <top/>
      <bottom style="thick">
        <color theme="0"/>
      </bottom>
      <diagonal/>
    </border>
    <border>
      <left style="thin">
        <color theme="0"/>
      </left>
      <right style="thin">
        <color theme="0"/>
      </right>
      <top style="thick">
        <color theme="0"/>
      </top>
      <bottom style="thin">
        <color theme="0"/>
      </bottom>
      <diagonal/>
    </border>
    <border>
      <left/>
      <right/>
      <top/>
      <bottom style="medium">
        <color auto="1"/>
      </bottom>
      <diagonal/>
    </border>
    <border>
      <left/>
      <right/>
      <top style="medium">
        <color auto="1"/>
      </top>
      <bottom style="thin">
        <color auto="1"/>
      </bottom>
      <diagonal/>
    </border>
    <border>
      <left style="thin">
        <color theme="0"/>
      </left>
      <right/>
      <top/>
      <bottom style="thin">
        <color theme="0"/>
      </bottom>
      <diagonal/>
    </border>
    <border>
      <left style="thin">
        <color theme="1"/>
      </left>
      <right style="thin">
        <color theme="1"/>
      </right>
      <top/>
      <bottom style="thick">
        <color theme="0"/>
      </bottom>
      <diagonal/>
    </border>
    <border>
      <left style="thin">
        <color theme="1"/>
      </left>
      <right/>
      <top/>
      <bottom style="thick">
        <color theme="0"/>
      </bottom>
      <diagonal/>
    </border>
    <border>
      <left/>
      <right style="thick">
        <color theme="0"/>
      </right>
      <top style="thin">
        <color theme="1"/>
      </top>
      <bottom style="thin">
        <color theme="1"/>
      </bottom>
      <diagonal/>
    </border>
    <border>
      <left/>
      <right style="thick">
        <color theme="0"/>
      </right>
      <top style="thin">
        <color theme="1"/>
      </top>
      <bottom/>
      <diagonal/>
    </border>
    <border>
      <left style="medium">
        <color auto="1"/>
      </left>
      <right style="medium">
        <color auto="1"/>
      </right>
      <top style="medium">
        <color auto="1"/>
      </top>
      <bottom style="medium">
        <color auto="1"/>
      </bottom>
      <diagonal/>
    </border>
    <border>
      <left/>
      <right/>
      <top/>
      <bottom style="thin">
        <color theme="1"/>
      </bottom>
      <diagonal/>
    </border>
    <border>
      <left/>
      <right style="thin">
        <color theme="1"/>
      </right>
      <top/>
      <bottom/>
      <diagonal/>
    </border>
    <border>
      <left style="thick">
        <color theme="0"/>
      </left>
      <right/>
      <top/>
      <bottom style="thin">
        <color theme="0"/>
      </bottom>
      <diagonal/>
    </border>
    <border>
      <left/>
      <right style="thin">
        <color theme="0"/>
      </right>
      <top style="thick">
        <color theme="0"/>
      </top>
      <bottom/>
      <diagonal/>
    </border>
    <border>
      <left style="thin">
        <color theme="0"/>
      </left>
      <right/>
      <top/>
      <bottom style="thick">
        <color theme="0"/>
      </bottom>
      <diagonal/>
    </border>
    <border>
      <left/>
      <right style="thick">
        <color theme="0"/>
      </right>
      <top style="thin">
        <color theme="0"/>
      </top>
      <bottom/>
      <diagonal/>
    </border>
    <border>
      <left/>
      <right style="thin">
        <color theme="0"/>
      </right>
      <top style="thin">
        <color auto="1"/>
      </top>
      <bottom/>
      <diagonal/>
    </border>
    <border>
      <left style="thin">
        <color theme="0"/>
      </left>
      <right/>
      <top/>
      <bottom style="thin">
        <color auto="1"/>
      </bottom>
      <diagonal/>
    </border>
    <border>
      <left/>
      <right style="thick">
        <color theme="0"/>
      </right>
      <top style="thin">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bottom style="thin">
        <color theme="0"/>
      </bottom>
      <diagonal/>
    </border>
    <border>
      <left style="thin">
        <color theme="0"/>
      </left>
      <right style="thin">
        <color theme="0"/>
      </right>
      <top/>
      <bottom style="thin">
        <color theme="0"/>
      </bottom>
      <diagonal/>
    </border>
    <border>
      <left style="thick">
        <color theme="0"/>
      </left>
      <right style="thin">
        <color theme="0"/>
      </right>
      <top/>
      <bottom style="thin">
        <color theme="0"/>
      </bottom>
      <diagonal/>
    </border>
    <border>
      <left/>
      <right style="thick">
        <color theme="0"/>
      </right>
      <top style="thick">
        <color theme="0"/>
      </top>
      <bottom style="thin">
        <color theme="0"/>
      </bottom>
      <diagonal/>
    </border>
  </borders>
  <cellStyleXfs count="28">
    <xf numFmtId="0" fontId="0" fillId="0" borderId="0"/>
    <xf numFmtId="9" fontId="5" fillId="0" borderId="0" applyFont="0" applyFill="0" applyBorder="0" applyAlignment="0" applyProtection="0"/>
    <xf numFmtId="0" fontId="21" fillId="0" borderId="0" applyNumberFormat="0" applyFill="0" applyBorder="0" applyAlignment="0" applyProtection="0"/>
    <xf numFmtId="44" fontId="4"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354">
    <xf numFmtId="0" fontId="0" fillId="0" borderId="0" xfId="0"/>
    <xf numFmtId="0" fontId="6" fillId="0" borderId="1" xfId="0" applyFont="1" applyBorder="1" applyAlignment="1">
      <alignment vertical="center" wrapText="1"/>
    </xf>
    <xf numFmtId="0" fontId="6" fillId="0" borderId="3" xfId="0" applyFont="1" applyBorder="1" applyAlignment="1">
      <alignment vertical="center" wrapText="1"/>
    </xf>
    <xf numFmtId="0" fontId="0" fillId="0" borderId="1" xfId="0" applyBorder="1"/>
    <xf numFmtId="12" fontId="10" fillId="0" borderId="0" xfId="0" applyNumberFormat="1" applyFont="1" applyAlignment="1">
      <alignment horizontal="center" vertical="center"/>
    </xf>
    <xf numFmtId="167" fontId="0" fillId="0" borderId="0" xfId="1" applyNumberFormat="1" applyFont="1" applyAlignment="1">
      <alignment horizontal="right" vertical="center"/>
    </xf>
    <xf numFmtId="0" fontId="0" fillId="0" borderId="0" xfId="0" applyBorder="1"/>
    <xf numFmtId="0" fontId="7" fillId="0" borderId="0" xfId="0" applyFont="1"/>
    <xf numFmtId="0" fontId="6" fillId="0" borderId="0" xfId="0" applyFont="1" applyAlignment="1">
      <alignment horizontal="right"/>
    </xf>
    <xf numFmtId="0" fontId="6" fillId="0" borderId="0" xfId="0" applyFont="1" applyBorder="1" applyAlignment="1">
      <alignment vertical="center" wrapText="1"/>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3" fillId="0" borderId="0" xfId="0" applyFont="1"/>
    <xf numFmtId="49" fontId="12" fillId="0" borderId="3" xfId="0" applyNumberFormat="1" applyFont="1" applyFill="1" applyBorder="1" applyAlignment="1">
      <alignment horizontal="right" wrapText="1"/>
    </xf>
    <xf numFmtId="0" fontId="0" fillId="5" borderId="6" xfId="0" applyFont="1" applyFill="1" applyBorder="1"/>
    <xf numFmtId="0" fontId="0" fillId="2" borderId="7" xfId="0" applyFont="1" applyFill="1" applyBorder="1"/>
    <xf numFmtId="0" fontId="0" fillId="5" borderId="14" xfId="0" applyFont="1" applyFill="1" applyBorder="1"/>
    <xf numFmtId="0" fontId="0" fillId="2" borderId="12" xfId="0" applyFont="1" applyFill="1" applyBorder="1"/>
    <xf numFmtId="168" fontId="0" fillId="0" borderId="0" xfId="0" applyNumberFormat="1"/>
    <xf numFmtId="166" fontId="0" fillId="0" borderId="0" xfId="0" applyNumberFormat="1" applyAlignment="1">
      <alignment horizontal="center"/>
    </xf>
    <xf numFmtId="166" fontId="0" fillId="6" borderId="15" xfId="0" applyNumberFormat="1" applyFill="1" applyBorder="1" applyAlignment="1">
      <alignment horizontal="center"/>
    </xf>
    <xf numFmtId="166" fontId="0" fillId="7" borderId="15" xfId="0" applyNumberFormat="1" applyFill="1" applyBorder="1" applyAlignment="1">
      <alignment horizontal="center"/>
    </xf>
    <xf numFmtId="165" fontId="0" fillId="8" borderId="15" xfId="0" applyNumberFormat="1" applyFill="1" applyBorder="1" applyAlignment="1">
      <alignment horizontal="center"/>
    </xf>
    <xf numFmtId="166" fontId="0" fillId="6" borderId="7" xfId="0" applyNumberFormat="1" applyFill="1" applyBorder="1" applyAlignment="1">
      <alignment horizontal="center"/>
    </xf>
    <xf numFmtId="166" fontId="0" fillId="7" borderId="7" xfId="0" applyNumberFormat="1" applyFill="1" applyBorder="1" applyAlignment="1">
      <alignment horizontal="center"/>
    </xf>
    <xf numFmtId="165" fontId="0" fillId="8" borderId="7" xfId="0" applyNumberFormat="1" applyFill="1" applyBorder="1" applyAlignment="1">
      <alignment horizontal="center"/>
    </xf>
    <xf numFmtId="0" fontId="0" fillId="0" borderId="5" xfId="0" applyBorder="1"/>
    <xf numFmtId="49" fontId="12" fillId="10" borderId="18" xfId="0" applyNumberFormat="1" applyFont="1" applyFill="1" applyBorder="1" applyAlignment="1">
      <alignment horizontal="center" vertical="center" wrapText="1"/>
    </xf>
    <xf numFmtId="49" fontId="12" fillId="10" borderId="2" xfId="0" applyNumberFormat="1" applyFont="1" applyFill="1" applyBorder="1" applyAlignment="1">
      <alignment horizontal="center" vertical="center" wrapText="1"/>
    </xf>
    <xf numFmtId="49" fontId="12" fillId="10" borderId="19" xfId="0" applyNumberFormat="1" applyFont="1" applyFill="1" applyBorder="1" applyAlignment="1">
      <alignment horizontal="center" vertical="center" wrapText="1"/>
    </xf>
    <xf numFmtId="0" fontId="11" fillId="10" borderId="20" xfId="0" applyFont="1" applyFill="1" applyBorder="1" applyAlignment="1" applyProtection="1">
      <alignment horizontal="center" vertical="center"/>
      <protection locked="0"/>
    </xf>
    <xf numFmtId="0" fontId="11" fillId="10" borderId="3" xfId="0" applyFont="1" applyFill="1" applyBorder="1" applyAlignment="1" applyProtection="1">
      <alignment horizontal="center" vertical="center"/>
      <protection locked="0"/>
    </xf>
    <xf numFmtId="0" fontId="11" fillId="10" borderId="21" xfId="0" applyFont="1" applyFill="1" applyBorder="1" applyAlignment="1" applyProtection="1">
      <alignment horizontal="center" vertical="center"/>
      <protection locked="0"/>
    </xf>
    <xf numFmtId="0" fontId="11" fillId="10" borderId="16" xfId="0" applyFont="1" applyFill="1" applyBorder="1" applyAlignment="1" applyProtection="1">
      <alignment horizontal="center" vertical="center"/>
      <protection locked="0"/>
    </xf>
    <xf numFmtId="0" fontId="11" fillId="10" borderId="1" xfId="0" applyFont="1" applyFill="1" applyBorder="1" applyAlignment="1" applyProtection="1">
      <alignment horizontal="center" vertical="center"/>
      <protection locked="0"/>
    </xf>
    <xf numFmtId="0" fontId="11" fillId="10" borderId="17" xfId="0" applyFont="1" applyFill="1" applyBorder="1" applyAlignment="1" applyProtection="1">
      <alignment horizontal="center" vertical="center"/>
      <protection locked="0"/>
    </xf>
    <xf numFmtId="0" fontId="9" fillId="11" borderId="5" xfId="0" applyFont="1" applyFill="1" applyBorder="1" applyAlignment="1">
      <alignment horizontal="center"/>
    </xf>
    <xf numFmtId="49" fontId="12" fillId="11" borderId="2" xfId="0" applyNumberFormat="1" applyFont="1" applyFill="1" applyBorder="1" applyAlignment="1">
      <alignment horizontal="center" vertical="center" wrapText="1"/>
    </xf>
    <xf numFmtId="0" fontId="11" fillId="11" borderId="3" xfId="0" applyFont="1" applyFill="1" applyBorder="1" applyAlignment="1" applyProtection="1">
      <alignment horizontal="center" vertical="center"/>
      <protection locked="0"/>
    </xf>
    <xf numFmtId="0" fontId="11" fillId="11" borderId="1" xfId="0" applyFont="1" applyFill="1" applyBorder="1" applyAlignment="1" applyProtection="1">
      <alignment horizontal="center" vertical="center"/>
      <protection locked="0"/>
    </xf>
    <xf numFmtId="49" fontId="12" fillId="12" borderId="18" xfId="0" applyNumberFormat="1" applyFont="1" applyFill="1" applyBorder="1" applyAlignment="1">
      <alignment horizontal="center" vertical="center" wrapText="1"/>
    </xf>
    <xf numFmtId="49" fontId="12" fillId="12" borderId="2" xfId="0" applyNumberFormat="1" applyFont="1" applyFill="1" applyBorder="1" applyAlignment="1">
      <alignment horizontal="center" vertical="center" wrapText="1"/>
    </xf>
    <xf numFmtId="49" fontId="12" fillId="12" borderId="19" xfId="0" applyNumberFormat="1" applyFont="1" applyFill="1" applyBorder="1" applyAlignment="1">
      <alignment horizontal="center" vertical="center" wrapText="1"/>
    </xf>
    <xf numFmtId="0" fontId="11" fillId="12" borderId="20" xfId="0" applyFont="1" applyFill="1" applyBorder="1" applyAlignment="1" applyProtection="1">
      <alignment horizontal="center" vertical="center"/>
      <protection locked="0"/>
    </xf>
    <xf numFmtId="0" fontId="11" fillId="12" borderId="3" xfId="0" applyFont="1" applyFill="1" applyBorder="1" applyAlignment="1" applyProtection="1">
      <alignment horizontal="center" vertical="center"/>
      <protection locked="0"/>
    </xf>
    <xf numFmtId="0" fontId="11" fillId="12" borderId="21" xfId="0" applyFont="1" applyFill="1" applyBorder="1" applyAlignment="1" applyProtection="1">
      <alignment horizontal="center" vertical="center"/>
      <protection locked="0"/>
    </xf>
    <xf numFmtId="0" fontId="11" fillId="12" borderId="16" xfId="0" applyFont="1" applyFill="1" applyBorder="1" applyAlignment="1" applyProtection="1">
      <alignment horizontal="center" vertical="center"/>
      <protection locked="0"/>
    </xf>
    <xf numFmtId="0" fontId="11" fillId="12" borderId="1" xfId="0" applyFont="1" applyFill="1" applyBorder="1" applyAlignment="1" applyProtection="1">
      <alignment horizontal="center" vertical="center"/>
      <protection locked="0"/>
    </xf>
    <xf numFmtId="0" fontId="11" fillId="12" borderId="17" xfId="0" applyFont="1" applyFill="1" applyBorder="1" applyAlignment="1" applyProtection="1">
      <alignment horizontal="center" vertical="center"/>
      <protection locked="0"/>
    </xf>
    <xf numFmtId="0" fontId="8" fillId="14" borderId="2"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65" fontId="0" fillId="0" borderId="0" xfId="0" applyNumberFormat="1" applyFont="1"/>
    <xf numFmtId="0" fontId="0" fillId="0" borderId="0" xfId="0" applyFont="1" applyFill="1" applyBorder="1" applyAlignment="1">
      <alignment horizontal="left"/>
    </xf>
    <xf numFmtId="0" fontId="0" fillId="0" borderId="0" xfId="0" applyFont="1" applyAlignment="1">
      <alignment vertical="top"/>
    </xf>
    <xf numFmtId="0" fontId="6" fillId="14" borderId="0" xfId="0" applyFont="1" applyFill="1" applyAlignment="1">
      <alignment horizontal="center" vertical="center"/>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Border="1"/>
    <xf numFmtId="0" fontId="14" fillId="4" borderId="0" xfId="0" applyFont="1" applyFill="1" applyBorder="1" applyAlignment="1">
      <alignment horizontal="center" vertical="center" wrapText="1"/>
    </xf>
    <xf numFmtId="0" fontId="0" fillId="0" borderId="0" xfId="0" applyFont="1" applyAlignment="1">
      <alignment vertical="center"/>
    </xf>
    <xf numFmtId="167" fontId="6" fillId="0" borderId="0" xfId="1" applyNumberFormat="1" applyFont="1" applyAlignment="1">
      <alignment horizontal="left"/>
    </xf>
    <xf numFmtId="0" fontId="15" fillId="0" borderId="0" xfId="0" applyFont="1"/>
    <xf numFmtId="0" fontId="6" fillId="13" borderId="2" xfId="0" applyFont="1" applyFill="1" applyBorder="1" applyAlignment="1">
      <alignment horizontal="center" vertical="center"/>
    </xf>
    <xf numFmtId="49" fontId="17" fillId="10" borderId="18" xfId="0" applyNumberFormat="1" applyFont="1" applyFill="1" applyBorder="1" applyAlignment="1">
      <alignment horizontal="center" vertical="center" wrapText="1"/>
    </xf>
    <xf numFmtId="49" fontId="17" fillId="10" borderId="2" xfId="0" applyNumberFormat="1" applyFont="1" applyFill="1" applyBorder="1" applyAlignment="1">
      <alignment horizontal="center" vertical="center" wrapText="1"/>
    </xf>
    <xf numFmtId="49" fontId="17" fillId="10" borderId="19" xfId="0" applyNumberFormat="1" applyFont="1" applyFill="1" applyBorder="1" applyAlignment="1">
      <alignment horizontal="center" vertical="center" wrapText="1"/>
    </xf>
    <xf numFmtId="49" fontId="17" fillId="11" borderId="2" xfId="0" applyNumberFormat="1" applyFont="1" applyFill="1" applyBorder="1" applyAlignment="1">
      <alignment horizontal="center" vertical="center" wrapText="1"/>
    </xf>
    <xf numFmtId="49" fontId="17" fillId="12" borderId="18" xfId="0" applyNumberFormat="1" applyFont="1" applyFill="1" applyBorder="1" applyAlignment="1">
      <alignment horizontal="center" vertical="center" wrapText="1"/>
    </xf>
    <xf numFmtId="49" fontId="17" fillId="12" borderId="2" xfId="0" applyNumberFormat="1" applyFont="1" applyFill="1" applyBorder="1" applyAlignment="1">
      <alignment horizontal="center" vertical="center" wrapText="1"/>
    </xf>
    <xf numFmtId="49" fontId="17" fillId="12" borderId="19" xfId="0" applyNumberFormat="1" applyFont="1" applyFill="1" applyBorder="1" applyAlignment="1">
      <alignment horizontal="center" vertical="center" wrapText="1"/>
    </xf>
    <xf numFmtId="0" fontId="18" fillId="11" borderId="5" xfId="0" applyFont="1" applyFill="1" applyBorder="1" applyAlignment="1">
      <alignment horizontal="center"/>
    </xf>
    <xf numFmtId="12" fontId="0" fillId="0" borderId="0" xfId="0" applyNumberFormat="1" applyFont="1" applyAlignment="1">
      <alignment horizontal="center" vertical="center"/>
    </xf>
    <xf numFmtId="0" fontId="0" fillId="4" borderId="0" xfId="0" applyFont="1" applyFill="1" applyAlignment="1">
      <alignment horizontal="center" vertical="center" wrapText="1"/>
    </xf>
    <xf numFmtId="0" fontId="0" fillId="4"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2" fillId="0" borderId="0" xfId="2" applyFont="1" applyAlignment="1">
      <alignment horizontal="center"/>
    </xf>
    <xf numFmtId="0" fontId="12" fillId="0" borderId="0" xfId="0" applyFont="1"/>
    <xf numFmtId="0" fontId="7" fillId="0" borderId="0" xfId="0" applyFont="1" applyBorder="1"/>
    <xf numFmtId="0" fontId="7" fillId="0" borderId="0" xfId="0" applyFont="1" applyFill="1" applyBorder="1"/>
    <xf numFmtId="12" fontId="10" fillId="0" borderId="22" xfId="0" applyNumberFormat="1" applyFont="1" applyBorder="1" applyAlignment="1">
      <alignment horizontal="center" vertical="center"/>
    </xf>
    <xf numFmtId="12" fontId="10" fillId="0" borderId="23" xfId="0" applyNumberFormat="1" applyFont="1" applyBorder="1" applyAlignment="1">
      <alignment horizontal="center" vertical="center"/>
    </xf>
    <xf numFmtId="0" fontId="8" fillId="0" borderId="3" xfId="0" applyFont="1" applyBorder="1"/>
    <xf numFmtId="0" fontId="0" fillId="0" borderId="3" xfId="0" applyBorder="1"/>
    <xf numFmtId="9" fontId="0" fillId="0" borderId="0" xfId="1" applyFont="1"/>
    <xf numFmtId="165" fontId="0" fillId="0" borderId="0" xfId="0" applyNumberFormat="1" applyFont="1" applyAlignment="1">
      <alignment vertical="center"/>
    </xf>
    <xf numFmtId="0" fontId="0" fillId="0" borderId="1" xfId="0" applyFont="1" applyBorder="1"/>
    <xf numFmtId="0" fontId="0" fillId="0" borderId="5" xfId="0" applyFont="1" applyBorder="1"/>
    <xf numFmtId="0" fontId="23" fillId="0" borderId="0" xfId="0" applyFont="1" applyAlignment="1">
      <alignment horizontal="center" vertical="center" wrapText="1"/>
    </xf>
    <xf numFmtId="0" fontId="8" fillId="14" borderId="2" xfId="0" applyFont="1" applyFill="1" applyBorder="1" applyAlignment="1">
      <alignment horizontal="center" vertical="center" wrapText="1"/>
    </xf>
    <xf numFmtId="171" fontId="0" fillId="0" borderId="0" xfId="0" applyNumberFormat="1" applyAlignment="1">
      <alignment horizontal="center"/>
    </xf>
    <xf numFmtId="0" fontId="14" fillId="14" borderId="24" xfId="0" applyFont="1" applyFill="1" applyBorder="1" applyAlignment="1">
      <alignment horizontal="center" vertical="center" wrapText="1"/>
    </xf>
    <xf numFmtId="0" fontId="14" fillId="14" borderId="39" xfId="0" applyFont="1" applyFill="1" applyBorder="1" applyAlignment="1">
      <alignment horizontal="center" vertical="center" wrapText="1"/>
    </xf>
    <xf numFmtId="49" fontId="12" fillId="0" borderId="0" xfId="0" applyNumberFormat="1" applyFont="1" applyFill="1" applyBorder="1" applyAlignment="1">
      <alignment horizontal="right" wrapText="1"/>
    </xf>
    <xf numFmtId="0" fontId="6" fillId="14" borderId="37" xfId="0" applyFont="1" applyFill="1" applyBorder="1" applyAlignment="1">
      <alignment horizontal="center" vertical="center"/>
    </xf>
    <xf numFmtId="0" fontId="14" fillId="4" borderId="37"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19" fillId="0" borderId="0" xfId="0" applyFont="1" applyAlignment="1">
      <alignment vertical="center"/>
    </xf>
    <xf numFmtId="0" fontId="26" fillId="6" borderId="31" xfId="0" applyFont="1" applyFill="1" applyBorder="1" applyAlignment="1">
      <alignment horizontal="center" vertical="center" wrapText="1"/>
    </xf>
    <xf numFmtId="0" fontId="26" fillId="6" borderId="37" xfId="0" applyFont="1" applyFill="1" applyBorder="1" applyAlignment="1">
      <alignment vertical="center" wrapText="1"/>
    </xf>
    <xf numFmtId="0" fontId="8" fillId="16" borderId="2" xfId="0" applyFont="1" applyFill="1" applyBorder="1" applyAlignment="1">
      <alignment horizontal="center" vertical="center"/>
    </xf>
    <xf numFmtId="0" fontId="6" fillId="16" borderId="38" xfId="0" applyFont="1" applyFill="1" applyBorder="1" applyAlignment="1">
      <alignment horizontal="center" vertical="center"/>
    </xf>
    <xf numFmtId="0" fontId="7" fillId="0" borderId="0" xfId="0" applyFont="1" applyAlignment="1">
      <alignment horizontal="center" vertical="center"/>
    </xf>
    <xf numFmtId="170" fontId="7" fillId="0" borderId="0" xfId="0" applyNumberFormat="1" applyFont="1" applyAlignment="1">
      <alignment horizontal="center"/>
    </xf>
    <xf numFmtId="165" fontId="7" fillId="0" borderId="0" xfId="0" applyNumberFormat="1" applyFont="1"/>
    <xf numFmtId="165" fontId="7" fillId="0" borderId="0" xfId="0" applyNumberFormat="1" applyFont="1" applyAlignment="1">
      <alignment vertical="center"/>
    </xf>
    <xf numFmtId="0" fontId="7" fillId="0" borderId="0" xfId="0" applyFont="1" applyAlignment="1">
      <alignment horizontal="center" vertical="center" wrapText="1"/>
    </xf>
    <xf numFmtId="0" fontId="7" fillId="0" borderId="0" xfId="0" applyNumberFormat="1" applyFont="1"/>
    <xf numFmtId="9" fontId="7" fillId="0" borderId="0" xfId="0" applyNumberFormat="1" applyFont="1"/>
    <xf numFmtId="167" fontId="0" fillId="4" borderId="7" xfId="1" applyNumberFormat="1" applyFont="1" applyFill="1" applyBorder="1" applyAlignment="1">
      <alignment horizontal="center"/>
    </xf>
    <xf numFmtId="0" fontId="24" fillId="16" borderId="24" xfId="0" applyFont="1" applyFill="1" applyBorder="1" applyAlignment="1">
      <alignment horizontal="center" vertical="center" wrapText="1"/>
    </xf>
    <xf numFmtId="9" fontId="7" fillId="0" borderId="0" xfId="0" applyNumberFormat="1" applyFont="1" applyAlignment="1">
      <alignment horizontal="left"/>
    </xf>
    <xf numFmtId="9" fontId="7" fillId="0" borderId="0" xfId="0" applyNumberFormat="1" applyFont="1" applyAlignment="1">
      <alignment horizontal="left" vertical="top"/>
    </xf>
    <xf numFmtId="169" fontId="0" fillId="3" borderId="8" xfId="3" applyNumberFormat="1" applyFont="1" applyFill="1" applyBorder="1" applyAlignment="1">
      <alignment horizontal="center"/>
    </xf>
    <xf numFmtId="169" fontId="0" fillId="3" borderId="13" xfId="3" applyNumberFormat="1" applyFont="1" applyFill="1" applyBorder="1" applyAlignment="1">
      <alignment horizontal="center"/>
    </xf>
    <xf numFmtId="0" fontId="0" fillId="0" borderId="0" xfId="0" applyFill="1" applyBorder="1" applyAlignment="1"/>
    <xf numFmtId="0" fontId="0" fillId="0" borderId="46" xfId="0" applyFill="1" applyBorder="1" applyAlignment="1"/>
    <xf numFmtId="49" fontId="12" fillId="0" borderId="47" xfId="0" applyNumberFormat="1" applyFont="1" applyFill="1" applyBorder="1" applyAlignment="1">
      <alignment horizontal="center" wrapText="1"/>
    </xf>
    <xf numFmtId="0" fontId="0" fillId="7" borderId="0" xfId="0" applyFill="1" applyBorder="1" applyAlignment="1"/>
    <xf numFmtId="0" fontId="29" fillId="0" borderId="0" xfId="0" applyFont="1"/>
    <xf numFmtId="0" fontId="0" fillId="0" borderId="0" xfId="0" applyAlignment="1">
      <alignment horizontal="center" vertical="center"/>
    </xf>
    <xf numFmtId="0" fontId="24" fillId="6" borderId="37" xfId="0" applyFont="1" applyFill="1" applyBorder="1" applyAlignment="1">
      <alignment vertical="center" wrapText="1"/>
    </xf>
    <xf numFmtId="0" fontId="24" fillId="6" borderId="31" xfId="0" applyFont="1" applyFill="1" applyBorder="1" applyAlignment="1">
      <alignment horizontal="center" vertical="center" wrapText="1"/>
    </xf>
    <xf numFmtId="0" fontId="24" fillId="2" borderId="37" xfId="0" applyFont="1" applyFill="1" applyBorder="1" applyAlignment="1" applyProtection="1">
      <alignment horizontal="center" vertical="center" wrapText="1"/>
    </xf>
    <xf numFmtId="0" fontId="31" fillId="7" borderId="24" xfId="0" applyFont="1" applyFill="1" applyBorder="1" applyAlignment="1">
      <alignment horizontal="center" vertical="center"/>
    </xf>
    <xf numFmtId="0" fontId="24" fillId="3" borderId="24" xfId="0" applyFont="1" applyFill="1" applyBorder="1" applyAlignment="1" applyProtection="1">
      <alignment horizontal="center" vertical="center" wrapText="1"/>
    </xf>
    <xf numFmtId="0" fontId="24" fillId="4" borderId="33" xfId="0" applyFont="1" applyFill="1" applyBorder="1" applyAlignment="1" applyProtection="1">
      <alignment horizontal="center" vertical="center" wrapText="1"/>
    </xf>
    <xf numFmtId="0" fontId="24" fillId="4" borderId="38"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4" borderId="34" xfId="0" applyFont="1" applyFill="1" applyBorder="1" applyAlignment="1" applyProtection="1">
      <alignment horizontal="center" vertical="center" wrapText="1"/>
    </xf>
    <xf numFmtId="0" fontId="24" fillId="4" borderId="35" xfId="0" applyFont="1" applyFill="1" applyBorder="1" applyAlignment="1" applyProtection="1">
      <alignment horizontal="center" vertical="center" wrapText="1"/>
    </xf>
    <xf numFmtId="0" fontId="32" fillId="4" borderId="33" xfId="0" applyFont="1" applyFill="1" applyBorder="1" applyAlignment="1" applyProtection="1">
      <alignment horizontal="left" vertical="center" wrapText="1"/>
    </xf>
    <xf numFmtId="0" fontId="32" fillId="4" borderId="34" xfId="0" applyFont="1" applyFill="1" applyBorder="1" applyAlignment="1" applyProtection="1">
      <alignment horizontal="left" vertical="center" wrapText="1"/>
    </xf>
    <xf numFmtId="0" fontId="32" fillId="4" borderId="38" xfId="0" applyFont="1" applyFill="1" applyBorder="1" applyAlignment="1" applyProtection="1">
      <alignment horizontal="left" vertical="center" wrapText="1"/>
    </xf>
    <xf numFmtId="0" fontId="7" fillId="0" borderId="0" xfId="0" applyFont="1" applyFill="1" applyBorder="1" applyAlignment="1">
      <alignment horizontal="center"/>
    </xf>
    <xf numFmtId="0" fontId="7" fillId="0" borderId="0" xfId="0" applyFont="1" applyBorder="1" applyAlignment="1">
      <alignment horizontal="center"/>
    </xf>
    <xf numFmtId="167" fontId="0" fillId="0" borderId="0" xfId="0" applyNumberFormat="1" applyAlignment="1">
      <alignment horizontal="center" vertical="center"/>
    </xf>
    <xf numFmtId="169" fontId="13" fillId="0" borderId="0" xfId="3" applyNumberFormat="1" applyFont="1"/>
    <xf numFmtId="0" fontId="13" fillId="0" borderId="0" xfId="0" applyFont="1" applyBorder="1"/>
    <xf numFmtId="169" fontId="13" fillId="0" borderId="0" xfId="3" applyNumberFormat="1" applyFont="1" applyBorder="1"/>
    <xf numFmtId="0" fontId="13" fillId="0" borderId="0" xfId="0" applyFont="1" applyBorder="1" applyAlignment="1">
      <alignment horizontal="center"/>
    </xf>
    <xf numFmtId="0" fontId="13" fillId="0" borderId="0" xfId="0" applyFont="1" applyFill="1" applyBorder="1"/>
    <xf numFmtId="0" fontId="13" fillId="0" borderId="0" xfId="0" applyFont="1" applyFill="1" applyBorder="1" applyAlignment="1">
      <alignment horizontal="center"/>
    </xf>
    <xf numFmtId="0" fontId="33" fillId="0" borderId="0" xfId="0" applyFont="1" applyBorder="1"/>
    <xf numFmtId="0" fontId="34" fillId="0" borderId="0" xfId="0" applyFont="1" applyBorder="1" applyAlignment="1">
      <alignment horizontal="center" wrapText="1"/>
    </xf>
    <xf numFmtId="0" fontId="34" fillId="4" borderId="55" xfId="0" applyFont="1" applyFill="1" applyBorder="1" applyAlignment="1">
      <alignment horizontal="center" wrapText="1"/>
    </xf>
    <xf numFmtId="0" fontId="34" fillId="4" borderId="49" xfId="0" applyFont="1" applyFill="1" applyBorder="1" applyAlignment="1">
      <alignment horizontal="center" wrapText="1"/>
    </xf>
    <xf numFmtId="0" fontId="34" fillId="14" borderId="49" xfId="0" applyFont="1" applyFill="1" applyBorder="1" applyAlignment="1">
      <alignment horizontal="center" wrapText="1"/>
    </xf>
    <xf numFmtId="0" fontId="34" fillId="16" borderId="50" xfId="0" applyFont="1" applyFill="1" applyBorder="1" applyAlignment="1">
      <alignment horizontal="center" wrapText="1"/>
    </xf>
    <xf numFmtId="0" fontId="34" fillId="0" borderId="0" xfId="0" applyFont="1" applyFill="1" applyBorder="1" applyAlignment="1">
      <alignment horizontal="center" wrapText="1"/>
    </xf>
    <xf numFmtId="0" fontId="34" fillId="4" borderId="54" xfId="0" applyFont="1" applyFill="1" applyBorder="1" applyAlignment="1">
      <alignment horizontal="right" vertical="center" wrapText="1"/>
    </xf>
    <xf numFmtId="2" fontId="13" fillId="0" borderId="53" xfId="0" applyNumberFormat="1" applyFont="1" applyBorder="1" applyAlignment="1">
      <alignment horizontal="center" vertical="center"/>
    </xf>
    <xf numFmtId="2" fontId="13" fillId="0" borderId="57" xfId="0" applyNumberFormat="1" applyFont="1" applyBorder="1" applyAlignment="1">
      <alignment horizontal="center" vertical="center"/>
    </xf>
    <xf numFmtId="2" fontId="13" fillId="0" borderId="45" xfId="0" applyNumberFormat="1" applyFont="1" applyBorder="1" applyAlignment="1">
      <alignment horizontal="center" vertical="center"/>
    </xf>
    <xf numFmtId="2" fontId="13" fillId="0" borderId="42" xfId="0" applyNumberFormat="1"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34" fillId="4" borderId="51" xfId="0" applyFont="1" applyFill="1" applyBorder="1" applyAlignment="1">
      <alignment horizontal="right" vertical="center" wrapText="1"/>
    </xf>
    <xf numFmtId="2" fontId="13" fillId="0" borderId="56" xfId="0" applyNumberFormat="1" applyFont="1" applyBorder="1" applyAlignment="1">
      <alignment horizontal="center" vertical="center"/>
    </xf>
    <xf numFmtId="2" fontId="13" fillId="0" borderId="14" xfId="0" applyNumberFormat="1" applyFont="1" applyBorder="1" applyAlignment="1">
      <alignment horizontal="center" vertical="center"/>
    </xf>
    <xf numFmtId="2" fontId="13" fillId="0" borderId="7" xfId="0" applyNumberFormat="1" applyFont="1" applyBorder="1" applyAlignment="1">
      <alignment horizontal="center" vertical="center"/>
    </xf>
    <xf numFmtId="2" fontId="13" fillId="0" borderId="28" xfId="0" applyNumberFormat="1" applyFont="1" applyBorder="1" applyAlignment="1">
      <alignment horizontal="center" vertical="center"/>
    </xf>
    <xf numFmtId="2" fontId="13" fillId="0" borderId="27" xfId="0" applyNumberFormat="1" applyFont="1" applyBorder="1" applyAlignment="1">
      <alignment horizontal="center" vertical="center"/>
    </xf>
    <xf numFmtId="2" fontId="13" fillId="0" borderId="48" xfId="0" applyNumberFormat="1" applyFont="1" applyBorder="1" applyAlignment="1">
      <alignment horizontal="center" vertical="center"/>
    </xf>
    <xf numFmtId="0" fontId="34" fillId="14" borderId="51" xfId="0" applyFont="1" applyFill="1" applyBorder="1" applyAlignment="1">
      <alignment horizontal="right" vertical="center" wrapText="1"/>
    </xf>
    <xf numFmtId="2" fontId="13" fillId="0" borderId="59" xfId="0" applyNumberFormat="1" applyFont="1" applyBorder="1" applyAlignment="1">
      <alignment horizontal="center" vertical="center"/>
    </xf>
    <xf numFmtId="0" fontId="34" fillId="16" borderId="52" xfId="0" applyFont="1" applyFill="1" applyBorder="1" applyAlignment="1">
      <alignment horizontal="right" vertical="center" wrapText="1"/>
    </xf>
    <xf numFmtId="2" fontId="13" fillId="0" borderId="29" xfId="0" applyNumberFormat="1" applyFont="1" applyBorder="1" applyAlignment="1">
      <alignment horizontal="center" vertical="center"/>
    </xf>
    <xf numFmtId="2" fontId="13" fillId="0" borderId="30" xfId="0" applyNumberFormat="1" applyFont="1" applyBorder="1" applyAlignment="1">
      <alignment horizontal="center" vertical="center"/>
    </xf>
    <xf numFmtId="2" fontId="13" fillId="0" borderId="58" xfId="0" applyNumberFormat="1" applyFont="1" applyBorder="1" applyAlignment="1">
      <alignment horizontal="center" vertical="center"/>
    </xf>
    <xf numFmtId="0" fontId="13" fillId="0" borderId="0" xfId="0" applyFont="1" applyBorder="1" applyAlignment="1">
      <alignment horizontal="center" wrapText="1"/>
    </xf>
    <xf numFmtId="0" fontId="13" fillId="0" borderId="0" xfId="0" applyFont="1" applyFill="1" applyBorder="1" applyAlignment="1">
      <alignment horizontal="center" wrapText="1"/>
    </xf>
    <xf numFmtId="168" fontId="13" fillId="0" borderId="0" xfId="0" applyNumberFormat="1" applyFont="1" applyBorder="1" applyAlignment="1">
      <alignment horizontal="center"/>
    </xf>
    <xf numFmtId="1" fontId="13" fillId="0" borderId="0" xfId="0" applyNumberFormat="1" applyFont="1" applyBorder="1" applyAlignment="1">
      <alignment horizontal="center"/>
    </xf>
    <xf numFmtId="9" fontId="13" fillId="0" borderId="0" xfId="1" applyFont="1" applyBorder="1" applyAlignment="1">
      <alignment horizontal="center"/>
    </xf>
    <xf numFmtId="170" fontId="13" fillId="0" borderId="0" xfId="0" applyNumberFormat="1" applyFont="1" applyBorder="1" applyAlignment="1">
      <alignment horizontal="center"/>
    </xf>
    <xf numFmtId="165" fontId="13" fillId="0" borderId="0" xfId="0" applyNumberFormat="1" applyFont="1" applyBorder="1" applyAlignment="1">
      <alignment horizontal="center"/>
    </xf>
    <xf numFmtId="169" fontId="13" fillId="0" borderId="0" xfId="3" applyNumberFormat="1" applyFont="1" applyBorder="1" applyAlignment="1">
      <alignment horizontal="center"/>
    </xf>
    <xf numFmtId="172" fontId="13" fillId="0" borderId="0" xfId="0" applyNumberFormat="1" applyFont="1" applyBorder="1"/>
    <xf numFmtId="165" fontId="13" fillId="0" borderId="0" xfId="0" applyNumberFormat="1" applyFont="1" applyBorder="1"/>
    <xf numFmtId="165" fontId="13" fillId="0" borderId="0" xfId="3" applyNumberFormat="1" applyFont="1" applyBorder="1"/>
    <xf numFmtId="0" fontId="13" fillId="0" borderId="0" xfId="3" applyNumberFormat="1" applyFont="1" applyBorder="1"/>
    <xf numFmtId="172" fontId="13" fillId="0" borderId="0" xfId="3" applyNumberFormat="1" applyFont="1" applyBorder="1"/>
    <xf numFmtId="1" fontId="13" fillId="0" borderId="0" xfId="0" applyNumberFormat="1" applyFont="1" applyBorder="1"/>
    <xf numFmtId="168" fontId="13" fillId="0" borderId="0" xfId="0" applyNumberFormat="1" applyFont="1" applyBorder="1"/>
    <xf numFmtId="0" fontId="0" fillId="5" borderId="36" xfId="0" applyFont="1" applyFill="1" applyBorder="1"/>
    <xf numFmtId="0" fontId="0" fillId="5" borderId="32" xfId="0" applyFont="1" applyFill="1" applyBorder="1"/>
    <xf numFmtId="0" fontId="24" fillId="5" borderId="37" xfId="0" applyFont="1" applyFill="1" applyBorder="1" applyAlignment="1">
      <alignment horizontal="center" wrapText="1"/>
    </xf>
    <xf numFmtId="1" fontId="0" fillId="6" borderId="32" xfId="26" applyNumberFormat="1" applyFont="1" applyFill="1" applyBorder="1" applyAlignment="1">
      <alignment horizontal="center"/>
    </xf>
    <xf numFmtId="165" fontId="0" fillId="6" borderId="32" xfId="26" applyNumberFormat="1" applyFont="1" applyFill="1" applyBorder="1" applyAlignment="1">
      <alignment horizontal="center"/>
    </xf>
    <xf numFmtId="0" fontId="26" fillId="5"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 fillId="0" borderId="0" xfId="0" applyFont="1" applyAlignment="1">
      <alignment vertical="center"/>
    </xf>
    <xf numFmtId="0" fontId="35" fillId="4" borderId="33" xfId="0" applyFont="1" applyFill="1" applyBorder="1" applyAlignment="1" applyProtection="1">
      <alignment horizontal="left" vertical="center" wrapText="1"/>
    </xf>
    <xf numFmtId="0" fontId="35" fillId="4" borderId="38" xfId="0" applyFont="1" applyFill="1" applyBorder="1" applyAlignment="1" applyProtection="1">
      <alignment horizontal="left" vertical="center" wrapText="1"/>
    </xf>
    <xf numFmtId="0" fontId="35" fillId="3" borderId="38" xfId="0" applyFont="1" applyFill="1" applyBorder="1" applyAlignment="1" applyProtection="1">
      <alignment horizontal="left" vertical="center" wrapText="1"/>
    </xf>
    <xf numFmtId="0" fontId="35" fillId="4" borderId="34" xfId="0" applyFont="1" applyFill="1" applyBorder="1" applyAlignment="1" applyProtection="1">
      <alignment horizontal="left" vertical="center" wrapText="1"/>
    </xf>
    <xf numFmtId="0" fontId="35" fillId="4" borderId="35" xfId="0" applyFont="1" applyFill="1" applyBorder="1" applyAlignment="1" applyProtection="1">
      <alignment horizontal="left" vertical="center" wrapText="1"/>
    </xf>
    <xf numFmtId="0" fontId="35" fillId="2" borderId="24" xfId="0" applyFont="1" applyFill="1" applyBorder="1" applyAlignment="1">
      <alignment horizontal="left" vertical="center" wrapText="1"/>
    </xf>
    <xf numFmtId="49" fontId="35" fillId="4" borderId="34" xfId="0" applyNumberFormat="1" applyFont="1" applyFill="1" applyBorder="1" applyAlignment="1" applyProtection="1">
      <alignment horizontal="left" vertical="center" wrapText="1"/>
    </xf>
    <xf numFmtId="0" fontId="35" fillId="3" borderId="24" xfId="0" applyFont="1" applyFill="1" applyBorder="1" applyAlignment="1" applyProtection="1">
      <alignment horizontal="left" vertical="center" wrapText="1"/>
    </xf>
    <xf numFmtId="0" fontId="35" fillId="4" borderId="33" xfId="0" applyFont="1" applyFill="1" applyBorder="1" applyAlignment="1" applyProtection="1">
      <alignment horizontal="left" vertical="top" wrapText="1"/>
    </xf>
    <xf numFmtId="0" fontId="1" fillId="5" borderId="36" xfId="0" applyFont="1" applyFill="1" applyBorder="1"/>
    <xf numFmtId="0" fontId="1" fillId="2" borderId="36" xfId="0" applyFont="1" applyFill="1" applyBorder="1"/>
    <xf numFmtId="0" fontId="1" fillId="5" borderId="32" xfId="0" applyFont="1" applyFill="1" applyBorder="1"/>
    <xf numFmtId="0" fontId="1" fillId="2" borderId="32" xfId="0" applyFont="1" applyFill="1" applyBorder="1"/>
    <xf numFmtId="0" fontId="1" fillId="5" borderId="28" xfId="0" applyFont="1" applyFill="1" applyBorder="1"/>
    <xf numFmtId="0" fontId="1" fillId="2" borderId="27" xfId="0" applyFont="1" applyFill="1" applyBorder="1"/>
    <xf numFmtId="0" fontId="36" fillId="0" borderId="0" xfId="0" applyFont="1"/>
    <xf numFmtId="167" fontId="19" fillId="0" borderId="0" xfId="25" applyNumberFormat="1" applyFont="1" applyAlignment="1">
      <alignment horizontal="right" vertical="center"/>
    </xf>
    <xf numFmtId="0" fontId="8" fillId="0" borderId="0" xfId="0" applyFont="1" applyBorder="1"/>
    <xf numFmtId="44" fontId="12" fillId="0" borderId="0" xfId="26" applyFont="1"/>
    <xf numFmtId="44" fontId="0" fillId="0" borderId="0" xfId="26" applyFont="1"/>
    <xf numFmtId="0" fontId="38" fillId="0" borderId="0" xfId="0" applyFont="1" applyAlignment="1">
      <alignment vertical="center"/>
    </xf>
    <xf numFmtId="0" fontId="39" fillId="0" borderId="0" xfId="0" applyFont="1" applyAlignment="1">
      <alignment vertical="center" wrapText="1"/>
    </xf>
    <xf numFmtId="0" fontId="38" fillId="0" borderId="0" xfId="0" applyFont="1" applyAlignment="1">
      <alignment vertical="top" wrapText="1"/>
    </xf>
    <xf numFmtId="0" fontId="37" fillId="0" borderId="0" xfId="0" applyFont="1" applyAlignment="1">
      <alignment vertical="center"/>
    </xf>
    <xf numFmtId="0" fontId="40" fillId="0" borderId="0" xfId="0" applyFont="1" applyAlignment="1"/>
    <xf numFmtId="0" fontId="10" fillId="0" borderId="0" xfId="0" applyFont="1"/>
    <xf numFmtId="0" fontId="41" fillId="0" borderId="0" xfId="2" applyFont="1" applyAlignment="1">
      <alignment horizontal="center"/>
    </xf>
    <xf numFmtId="2" fontId="1" fillId="0" borderId="0" xfId="1" applyNumberFormat="1" applyFont="1" applyAlignment="1">
      <alignment horizontal="center"/>
    </xf>
    <xf numFmtId="1" fontId="1" fillId="0" borderId="0" xfId="1" applyNumberFormat="1" applyFont="1" applyAlignment="1">
      <alignment horizontal="center"/>
    </xf>
    <xf numFmtId="2" fontId="1" fillId="0" borderId="0" xfId="0" applyNumberFormat="1" applyFont="1" applyAlignment="1">
      <alignment horizontal="center"/>
    </xf>
    <xf numFmtId="169" fontId="1" fillId="0" borderId="0" xfId="3" applyNumberFormat="1" applyFont="1" applyAlignment="1">
      <alignment horizontal="center"/>
    </xf>
    <xf numFmtId="167" fontId="1" fillId="0" borderId="0" xfId="1" applyNumberFormat="1" applyFont="1" applyAlignment="1">
      <alignment horizontal="center"/>
    </xf>
    <xf numFmtId="173" fontId="1" fillId="0" borderId="0" xfId="24" applyNumberFormat="1" applyFont="1" applyAlignment="1">
      <alignment horizontal="center"/>
    </xf>
    <xf numFmtId="3" fontId="43" fillId="0" borderId="0" xfId="0" applyNumberFormat="1" applyFont="1" applyAlignment="1">
      <alignment horizontal="center"/>
    </xf>
    <xf numFmtId="2" fontId="0" fillId="4" borderId="7" xfId="1" applyNumberFormat="1" applyFont="1" applyFill="1" applyBorder="1" applyAlignment="1">
      <alignment horizontal="center"/>
    </xf>
    <xf numFmtId="2" fontId="0" fillId="4" borderId="7" xfId="0" applyNumberFormat="1" applyFont="1" applyFill="1" applyBorder="1" applyAlignment="1">
      <alignment horizontal="center"/>
    </xf>
    <xf numFmtId="1" fontId="0" fillId="3" borderId="7" xfId="3" applyNumberFormat="1" applyFont="1" applyFill="1" applyBorder="1" applyAlignment="1">
      <alignment horizontal="center"/>
    </xf>
    <xf numFmtId="173" fontId="0" fillId="4" borderId="12" xfId="0" applyNumberFormat="1" applyFont="1" applyFill="1" applyBorder="1" applyAlignment="1">
      <alignment horizontal="center"/>
    </xf>
    <xf numFmtId="2" fontId="0" fillId="4" borderId="12" xfId="1" applyNumberFormat="1" applyFont="1" applyFill="1" applyBorder="1" applyAlignment="1">
      <alignment horizontal="center"/>
    </xf>
    <xf numFmtId="2" fontId="0" fillId="4" borderId="12" xfId="0" applyNumberFormat="1" applyFont="1" applyFill="1" applyBorder="1" applyAlignment="1">
      <alignment horizontal="center"/>
    </xf>
    <xf numFmtId="1" fontId="0" fillId="3" borderId="12" xfId="3" applyNumberFormat="1" applyFont="1" applyFill="1" applyBorder="1" applyAlignment="1">
      <alignment horizontal="center"/>
    </xf>
    <xf numFmtId="0" fontId="26" fillId="9" borderId="60" xfId="0" applyFont="1" applyFill="1" applyBorder="1" applyAlignment="1">
      <alignment horizontal="center" vertical="center" wrapText="1"/>
    </xf>
    <xf numFmtId="0" fontId="0" fillId="0" borderId="61" xfId="0" applyBorder="1"/>
    <xf numFmtId="0" fontId="0" fillId="0" borderId="7" xfId="0" applyBorder="1" applyAlignment="1">
      <alignment horizontal="center"/>
    </xf>
    <xf numFmtId="1" fontId="0" fillId="0" borderId="0" xfId="0" applyNumberFormat="1"/>
    <xf numFmtId="0" fontId="0" fillId="0" borderId="0" xfId="0" applyFill="1"/>
    <xf numFmtId="165" fontId="6" fillId="16" borderId="32" xfId="0" applyNumberFormat="1" applyFont="1" applyFill="1" applyBorder="1" applyAlignment="1" applyProtection="1">
      <alignment horizontal="center" vertical="center"/>
    </xf>
    <xf numFmtId="165" fontId="0" fillId="7" borderId="32" xfId="0" applyNumberFormat="1" applyFill="1" applyBorder="1" applyAlignment="1" applyProtection="1">
      <alignment horizontal="center"/>
    </xf>
    <xf numFmtId="166" fontId="0" fillId="7" borderId="32" xfId="0" applyNumberFormat="1" applyFill="1" applyBorder="1" applyAlignment="1" applyProtection="1">
      <alignment horizontal="center"/>
    </xf>
    <xf numFmtId="165" fontId="0" fillId="6" borderId="32" xfId="0" applyNumberFormat="1" applyFill="1" applyBorder="1" applyAlignment="1" applyProtection="1">
      <alignment horizontal="center"/>
    </xf>
    <xf numFmtId="167" fontId="0" fillId="0" borderId="0" xfId="27" applyNumberFormat="1" applyFont="1" applyAlignment="1">
      <alignment horizontal="right" indent="2"/>
    </xf>
    <xf numFmtId="173" fontId="0" fillId="0" borderId="0" xfId="24" applyNumberFormat="1" applyFont="1"/>
    <xf numFmtId="169" fontId="0" fillId="3" borderId="32" xfId="26" applyNumberFormat="1" applyFont="1" applyFill="1" applyBorder="1" applyAlignment="1" applyProtection="1">
      <alignment horizontal="right" indent="3"/>
    </xf>
    <xf numFmtId="0" fontId="0" fillId="2" borderId="32" xfId="0" applyFont="1" applyFill="1" applyBorder="1" applyProtection="1"/>
    <xf numFmtId="0" fontId="0" fillId="5" borderId="32" xfId="0" applyFont="1" applyFill="1" applyBorder="1" applyProtection="1"/>
    <xf numFmtId="0" fontId="6" fillId="16" borderId="31" xfId="0" applyFont="1" applyFill="1" applyBorder="1" applyAlignment="1" applyProtection="1">
      <alignment horizontal="right" indent="4"/>
    </xf>
    <xf numFmtId="169" fontId="0" fillId="3" borderId="32" xfId="26" applyNumberFormat="1" applyFont="1" applyFill="1" applyBorder="1" applyAlignment="1" applyProtection="1">
      <alignment horizontal="right"/>
    </xf>
    <xf numFmtId="0" fontId="0" fillId="2" borderId="63" xfId="0" applyFont="1" applyFill="1" applyBorder="1" applyProtection="1"/>
    <xf numFmtId="0" fontId="0" fillId="5" borderId="62" xfId="0" applyFont="1" applyFill="1" applyBorder="1" applyProtection="1"/>
    <xf numFmtId="165" fontId="6" fillId="16" borderId="36" xfId="0" applyNumberFormat="1" applyFont="1" applyFill="1" applyBorder="1" applyAlignment="1" applyProtection="1">
      <alignment horizontal="center" vertical="center"/>
    </xf>
    <xf numFmtId="165" fontId="0" fillId="7" borderId="36" xfId="0" applyNumberFormat="1" applyFill="1" applyBorder="1" applyAlignment="1" applyProtection="1">
      <alignment horizontal="center"/>
    </xf>
    <xf numFmtId="166" fontId="0" fillId="7" borderId="36" xfId="0" applyNumberFormat="1" applyFill="1" applyBorder="1" applyAlignment="1" applyProtection="1">
      <alignment horizontal="center"/>
    </xf>
    <xf numFmtId="165" fontId="0" fillId="6" borderId="36" xfId="0" applyNumberFormat="1" applyFill="1" applyBorder="1" applyAlignment="1" applyProtection="1">
      <alignment horizontal="center"/>
    </xf>
    <xf numFmtId="169" fontId="0" fillId="3" borderId="36" xfId="26" applyNumberFormat="1" applyFont="1" applyFill="1" applyBorder="1" applyAlignment="1" applyProtection="1">
      <alignment horizontal="right" indent="3"/>
    </xf>
    <xf numFmtId="0" fontId="0" fillId="2" borderId="36" xfId="0" applyFont="1" applyFill="1" applyBorder="1" applyProtection="1"/>
    <xf numFmtId="0" fontId="0" fillId="5" borderId="36" xfId="0" applyFont="1" applyFill="1" applyBorder="1" applyProtection="1"/>
    <xf numFmtId="0" fontId="0" fillId="0" borderId="0" xfId="0" applyAlignment="1">
      <alignment vertical="top"/>
    </xf>
    <xf numFmtId="0" fontId="44" fillId="16" borderId="24"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wrapText="1"/>
    </xf>
    <xf numFmtId="0" fontId="45" fillId="6" borderId="24" xfId="0" applyFont="1" applyFill="1" applyBorder="1" applyAlignment="1" applyProtection="1">
      <alignment horizontal="center" vertical="center" wrapText="1"/>
    </xf>
    <xf numFmtId="0" fontId="44" fillId="4" borderId="35" xfId="0" applyFont="1" applyFill="1" applyBorder="1" applyAlignment="1" applyProtection="1">
      <alignment horizontal="center" vertical="center" wrapText="1"/>
    </xf>
    <xf numFmtId="0" fontId="44" fillId="4" borderId="34" xfId="0" applyFont="1" applyFill="1" applyBorder="1" applyAlignment="1" applyProtection="1">
      <alignment horizontal="center" vertical="center" wrapText="1"/>
    </xf>
    <xf numFmtId="0" fontId="44" fillId="4" borderId="33" xfId="0" applyFont="1" applyFill="1" applyBorder="1" applyAlignment="1" applyProtection="1">
      <alignment horizontal="center" vertical="center" wrapText="1"/>
    </xf>
    <xf numFmtId="0" fontId="44" fillId="3" borderId="24" xfId="0" applyFont="1" applyFill="1" applyBorder="1" applyAlignment="1" applyProtection="1">
      <alignment horizontal="center" vertical="center" wrapText="1"/>
    </xf>
    <xf numFmtId="0" fontId="44" fillId="3" borderId="38" xfId="0" applyFont="1" applyFill="1" applyBorder="1" applyAlignment="1" applyProtection="1">
      <alignment horizontal="center" vertical="center" wrapText="1"/>
    </xf>
    <xf numFmtId="0" fontId="44" fillId="4" borderId="38" xfId="0" applyFont="1" applyFill="1" applyBorder="1" applyAlignment="1" applyProtection="1">
      <alignment horizontal="center" vertical="center" wrapText="1"/>
    </xf>
    <xf numFmtId="0" fontId="44" fillId="2" borderId="2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6" fillId="16" borderId="24" xfId="0" applyFont="1" applyFill="1" applyBorder="1" applyAlignment="1" applyProtection="1">
      <alignment horizontal="center" vertical="center" wrapText="1"/>
    </xf>
    <xf numFmtId="2" fontId="0" fillId="4" borderId="66" xfId="0" applyNumberFormat="1" applyFont="1" applyFill="1" applyBorder="1" applyAlignment="1" applyProtection="1">
      <alignment horizontal="right" indent="2"/>
    </xf>
    <xf numFmtId="2" fontId="0" fillId="4" borderId="64" xfId="0" applyNumberFormat="1" applyFont="1" applyFill="1" applyBorder="1" applyAlignment="1" applyProtection="1">
      <alignment horizontal="center"/>
    </xf>
    <xf numFmtId="2" fontId="0" fillId="4" borderId="66" xfId="27" applyNumberFormat="1" applyFont="1" applyFill="1" applyBorder="1" applyAlignment="1" applyProtection="1">
      <alignment horizontal="right" indent="2"/>
    </xf>
    <xf numFmtId="1" fontId="0" fillId="3" borderId="67" xfId="26" applyNumberFormat="1" applyFont="1" applyFill="1" applyBorder="1" applyAlignment="1" applyProtection="1">
      <alignment horizontal="left"/>
    </xf>
    <xf numFmtId="2" fontId="0" fillId="4" borderId="65" xfId="27" applyNumberFormat="1" applyFont="1" applyFill="1" applyBorder="1" applyAlignment="1" applyProtection="1">
      <alignment horizontal="right" indent="2"/>
    </xf>
    <xf numFmtId="2" fontId="0" fillId="4" borderId="64" xfId="27" applyNumberFormat="1" applyFont="1" applyFill="1" applyBorder="1" applyAlignment="1" applyProtection="1">
      <alignment horizontal="right" indent="3"/>
    </xf>
    <xf numFmtId="2" fontId="0" fillId="4" borderId="27" xfId="0" applyNumberFormat="1" applyFont="1" applyFill="1" applyBorder="1" applyAlignment="1" applyProtection="1">
      <alignment horizontal="right" indent="2"/>
    </xf>
    <xf numFmtId="2" fontId="0" fillId="4" borderId="28" xfId="0" applyNumberFormat="1" applyFont="1" applyFill="1" applyBorder="1" applyAlignment="1" applyProtection="1">
      <alignment horizontal="center"/>
    </xf>
    <xf numFmtId="2" fontId="0" fillId="4" borderId="27" xfId="27" applyNumberFormat="1" applyFont="1" applyFill="1" applyBorder="1" applyAlignment="1" applyProtection="1">
      <alignment horizontal="right" indent="2"/>
    </xf>
    <xf numFmtId="1" fontId="0" fillId="3" borderId="62" xfId="26" applyNumberFormat="1" applyFont="1" applyFill="1" applyBorder="1" applyAlignment="1" applyProtection="1">
      <alignment horizontal="left"/>
    </xf>
    <xf numFmtId="2" fontId="0" fillId="4" borderId="7" xfId="27" applyNumberFormat="1" applyFont="1" applyFill="1" applyBorder="1" applyAlignment="1" applyProtection="1">
      <alignment horizontal="right" indent="2"/>
    </xf>
    <xf numFmtId="2" fontId="0" fillId="4" borderId="28" xfId="27" applyNumberFormat="1" applyFont="1" applyFill="1" applyBorder="1" applyAlignment="1" applyProtection="1">
      <alignment horizontal="right" indent="3"/>
    </xf>
    <xf numFmtId="1" fontId="0" fillId="3" borderId="28" xfId="26" applyNumberFormat="1" applyFont="1" applyFill="1" applyBorder="1" applyAlignment="1" applyProtection="1">
      <alignment horizontal="left"/>
    </xf>
    <xf numFmtId="0" fontId="0" fillId="17" borderId="0" xfId="0" applyFill="1"/>
    <xf numFmtId="0" fontId="0" fillId="17" borderId="0" xfId="0" applyFill="1" applyBorder="1"/>
    <xf numFmtId="0" fontId="0" fillId="0" borderId="0" xfId="0" applyFill="1" applyBorder="1"/>
    <xf numFmtId="0" fontId="0" fillId="0" borderId="0" xfId="0" applyAlignment="1"/>
    <xf numFmtId="0" fontId="16" fillId="0" borderId="0" xfId="0" applyFont="1" applyAlignment="1"/>
    <xf numFmtId="0" fontId="8" fillId="0" borderId="3" xfId="0" applyFont="1" applyBorder="1" applyAlignment="1"/>
    <xf numFmtId="0" fontId="15" fillId="0" borderId="0" xfId="0" applyFont="1" applyAlignment="1"/>
    <xf numFmtId="0" fontId="0" fillId="0" borderId="1" xfId="0" applyBorder="1" applyAlignment="1"/>
    <xf numFmtId="0" fontId="0" fillId="0" borderId="5" xfId="0" applyBorder="1" applyAlignment="1"/>
    <xf numFmtId="0" fontId="6" fillId="0" borderId="3" xfId="0" applyFont="1" applyBorder="1" applyAlignment="1">
      <alignment vertical="center"/>
    </xf>
    <xf numFmtId="0" fontId="15" fillId="0" borderId="0" xfId="0" applyFont="1" applyBorder="1" applyAlignment="1"/>
    <xf numFmtId="0" fontId="12" fillId="0" borderId="0" xfId="0" applyFont="1" applyAlignment="1"/>
    <xf numFmtId="44" fontId="12" fillId="0" borderId="0" xfId="26" applyFont="1" applyAlignment="1"/>
    <xf numFmtId="0" fontId="10" fillId="0" borderId="3" xfId="0" applyFont="1" applyBorder="1" applyAlignment="1"/>
    <xf numFmtId="0" fontId="0" fillId="0" borderId="0" xfId="0" applyAlignment="1">
      <alignment wrapText="1"/>
    </xf>
    <xf numFmtId="0" fontId="42" fillId="0" borderId="0" xfId="0" applyFont="1" applyAlignment="1">
      <alignment horizontal="center" vertical="top" wrapText="1"/>
    </xf>
    <xf numFmtId="0" fontId="9" fillId="0" borderId="1" xfId="0" applyFont="1" applyBorder="1" applyAlignment="1">
      <alignment horizontal="center"/>
    </xf>
    <xf numFmtId="0" fontId="18" fillId="10" borderId="16" xfId="0" applyFont="1" applyFill="1" applyBorder="1" applyAlignment="1">
      <alignment horizontal="center"/>
    </xf>
    <xf numFmtId="0" fontId="18" fillId="10" borderId="1" xfId="0" applyFont="1" applyFill="1" applyBorder="1" applyAlignment="1">
      <alignment horizontal="center"/>
    </xf>
    <xf numFmtId="0" fontId="18" fillId="10" borderId="17" xfId="0" applyFont="1" applyFill="1" applyBorder="1" applyAlignment="1">
      <alignment horizontal="center"/>
    </xf>
    <xf numFmtId="0" fontId="18" fillId="12" borderId="16" xfId="0" applyFont="1" applyFill="1" applyBorder="1" applyAlignment="1">
      <alignment horizontal="center"/>
    </xf>
    <xf numFmtId="0" fontId="18" fillId="12" borderId="1" xfId="0" applyFont="1" applyFill="1" applyBorder="1" applyAlignment="1">
      <alignment horizontal="center"/>
    </xf>
    <xf numFmtId="0" fontId="18" fillId="12" borderId="17" xfId="0" applyFont="1" applyFill="1" applyBorder="1" applyAlignment="1">
      <alignment horizontal="center"/>
    </xf>
    <xf numFmtId="0" fontId="8" fillId="0" borderId="0" xfId="0" applyFont="1" applyBorder="1" applyAlignment="1">
      <alignment vertical="center" wrapText="1"/>
    </xf>
    <xf numFmtId="0" fontId="0" fillId="0" borderId="0" xfId="0" applyAlignment="1">
      <alignment vertical="center" wrapText="1"/>
    </xf>
    <xf numFmtId="0" fontId="0" fillId="0" borderId="0" xfId="0" applyFont="1" applyFill="1" applyBorder="1" applyAlignment="1">
      <alignment horizontal="left" vertical="top" wrapText="1"/>
    </xf>
    <xf numFmtId="0" fontId="9" fillId="10" borderId="16" xfId="0" applyFont="1" applyFill="1" applyBorder="1" applyAlignment="1">
      <alignment horizontal="center"/>
    </xf>
    <xf numFmtId="0" fontId="9" fillId="10" borderId="1" xfId="0" applyFont="1" applyFill="1" applyBorder="1" applyAlignment="1">
      <alignment horizontal="center"/>
    </xf>
    <xf numFmtId="0" fontId="9" fillId="10" borderId="17" xfId="0" applyFont="1" applyFill="1" applyBorder="1" applyAlignment="1">
      <alignment horizontal="center"/>
    </xf>
    <xf numFmtId="0" fontId="9" fillId="12" borderId="16" xfId="0" applyFont="1" applyFill="1" applyBorder="1" applyAlignment="1">
      <alignment horizontal="center"/>
    </xf>
    <xf numFmtId="0" fontId="9" fillId="12" borderId="1" xfId="0" applyFont="1" applyFill="1" applyBorder="1" applyAlignment="1">
      <alignment horizontal="center"/>
    </xf>
    <xf numFmtId="0" fontId="9" fillId="12" borderId="17" xfId="0" applyFont="1" applyFill="1" applyBorder="1" applyAlignment="1">
      <alignment horizontal="center"/>
    </xf>
    <xf numFmtId="0" fontId="30" fillId="0" borderId="0" xfId="0" applyFont="1" applyAlignment="1">
      <alignment horizontal="left" vertical="top" wrapText="1"/>
    </xf>
    <xf numFmtId="0" fontId="30" fillId="0" borderId="44" xfId="0" applyFont="1" applyBorder="1" applyAlignment="1">
      <alignment horizontal="left" vertical="top" wrapText="1"/>
    </xf>
    <xf numFmtId="0" fontId="26" fillId="6" borderId="37" xfId="0" applyFont="1" applyFill="1" applyBorder="1" applyAlignment="1">
      <alignment horizontal="center" vertical="center" wrapText="1"/>
    </xf>
    <xf numFmtId="0" fontId="26" fillId="6" borderId="41"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26" fillId="6" borderId="25" xfId="0" applyFont="1" applyFill="1" applyBorder="1" applyAlignment="1">
      <alignment horizontal="center" vertical="center" wrapText="1"/>
    </xf>
    <xf numFmtId="0" fontId="26" fillId="6" borderId="26" xfId="0" applyFont="1" applyFill="1" applyBorder="1" applyAlignment="1">
      <alignment horizontal="center" vertical="center" wrapText="1"/>
    </xf>
    <xf numFmtId="0" fontId="26" fillId="6" borderId="40" xfId="0" applyFont="1" applyFill="1" applyBorder="1" applyAlignment="1">
      <alignment horizontal="center" vertical="center" wrapText="1"/>
    </xf>
    <xf numFmtId="0" fontId="26" fillId="6" borderId="44"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41"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6" fillId="15" borderId="40" xfId="0" applyFont="1" applyFill="1" applyBorder="1" applyAlignment="1">
      <alignment horizontal="center"/>
    </xf>
    <xf numFmtId="0" fontId="6" fillId="15" borderId="44" xfId="0" applyFont="1" applyFill="1" applyBorder="1" applyAlignment="1">
      <alignment horizontal="center"/>
    </xf>
    <xf numFmtId="0" fontId="7" fillId="0" borderId="0" xfId="0" applyFont="1" applyFill="1" applyBorder="1" applyAlignment="1">
      <alignment horizontal="center"/>
    </xf>
    <xf numFmtId="0" fontId="7" fillId="0" borderId="0" xfId="0" applyFont="1" applyBorder="1" applyAlignment="1">
      <alignment horizontal="center"/>
    </xf>
    <xf numFmtId="0" fontId="13" fillId="0" borderId="0" xfId="0" applyFont="1" applyFill="1" applyBorder="1" applyAlignment="1">
      <alignment horizontal="center" wrapText="1"/>
    </xf>
    <xf numFmtId="0" fontId="13" fillId="0" borderId="0" xfId="0" applyFont="1" applyBorder="1" applyAlignment="1">
      <alignment horizontal="center" wrapText="1"/>
    </xf>
    <xf numFmtId="0" fontId="24" fillId="6" borderId="37" xfId="0" applyFont="1" applyFill="1" applyBorder="1" applyAlignment="1">
      <alignment horizontal="center" vertical="center" wrapText="1"/>
    </xf>
    <xf numFmtId="0" fontId="24" fillId="6" borderId="41"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40" xfId="0" applyFont="1" applyFill="1" applyBorder="1" applyAlignment="1">
      <alignment horizontal="center" vertical="center" wrapText="1"/>
    </xf>
    <xf numFmtId="0" fontId="24" fillId="6" borderId="44" xfId="0" applyFont="1" applyFill="1" applyBorder="1" applyAlignment="1">
      <alignment horizontal="center" vertical="center" wrapText="1"/>
    </xf>
  </cellXfs>
  <cellStyles count="28">
    <cellStyle name="Currency 2" xfId="22" xr:uid="{00000000-0005-0000-0000-000000000000}"/>
    <cellStyle name="Hipervínculo" xfId="2"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Millares" xfId="24" builtinId="3"/>
    <cellStyle name="Moneda" xfId="3" builtinId="4"/>
    <cellStyle name="Moneda 2" xfId="26" xr:uid="{00000000-0005-0000-0000-000016000000}"/>
    <cellStyle name="Normal" xfId="0" builtinId="0"/>
    <cellStyle name="Percent 2" xfId="23" xr:uid="{00000000-0005-0000-0000-000018000000}"/>
    <cellStyle name="Porcentaje" xfId="1" builtinId="5"/>
    <cellStyle name="Porcentaje 2" xfId="25" xr:uid="{00000000-0005-0000-0000-000019000000}"/>
    <cellStyle name="Porcentual 2" xfId="27" xr:uid="{00000000-0005-0000-0000-00001B000000}"/>
  </cellStyles>
  <dxfs count="29">
    <dxf>
      <font>
        <strike val="0"/>
        <outline val="0"/>
        <shadow val="0"/>
        <u val="none"/>
        <vertAlign val="baseline"/>
        <sz val="12"/>
        <color theme="1"/>
        <name val="Calibri"/>
        <scheme val="minor"/>
      </font>
      <numFmt numFmtId="165" formatCode="0.0000"/>
      <fill>
        <patternFill patternType="solid">
          <fgColor indexed="64"/>
          <bgColor rgb="FFFFBEA9"/>
        </patternFill>
      </fill>
      <alignment horizontal="center" vertical="center"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5" formatCode="0.0000"/>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6" formatCode="0.00000"/>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5" formatCode="0.0000"/>
      <fill>
        <patternFill patternType="solid">
          <fgColor indexed="64"/>
          <bgColor theme="7" tint="0.59999389629810485"/>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6" formatCode="0.00000"/>
      <fill>
        <patternFill patternType="solid">
          <fgColor indexed="64"/>
          <bgColor theme="7" tint="0.79998168889431442"/>
        </patternFill>
      </fill>
      <alignment horizontal="center" vertical="bottom" textRotation="0" wrapText="0" indent="0" justifyLastLine="0" shrinkToFit="0" readingOrder="0"/>
      <border diagonalUp="0" diagonalDown="0">
        <left style="thick">
          <color theme="0"/>
        </left>
        <right style="thick">
          <color theme="0"/>
        </right>
        <top style="thin">
          <color theme="0"/>
        </top>
        <bottom style="thin">
          <color theme="0"/>
        </bottom>
        <vertical/>
        <horizontal style="thin">
          <color theme="0"/>
        </horizontal>
      </border>
      <protection locked="1" hidden="0"/>
    </dxf>
    <dxf>
      <numFmt numFmtId="165" formatCode="0.0000"/>
      <fill>
        <patternFill patternType="solid">
          <fgColor indexed="64"/>
          <bgColor theme="7" tint="0.59999389629810485"/>
        </patternFill>
      </fill>
      <alignment horizontal="center" vertical="bottom" textRotation="0" wrapText="0" indent="0" justifyLastLine="0" shrinkToFit="0" readingOrder="0"/>
      <border diagonalUp="0" diagonalDown="0">
        <left style="thick">
          <color theme="0"/>
        </left>
        <right style="thick">
          <color theme="0"/>
        </right>
        <top style="thin">
          <color theme="0"/>
        </top>
        <bottom style="thin">
          <color theme="0"/>
        </bottom>
        <vertical/>
        <horizontal style="thin">
          <color theme="0"/>
        </horizontal>
      </border>
      <protection locked="1" hidden="0"/>
    </dxf>
    <dxf>
      <font>
        <b val="0"/>
        <i val="0"/>
        <strike val="0"/>
        <condense val="0"/>
        <extend val="0"/>
        <outline val="0"/>
        <shadow val="0"/>
        <u val="none"/>
        <vertAlign val="baseline"/>
        <sz val="12"/>
        <color theme="1"/>
        <name val="Calibri"/>
        <scheme val="minor"/>
      </font>
      <numFmt numFmtId="167" formatCode="0.0%"/>
      <fill>
        <patternFill patternType="solid">
          <fgColor indexed="64"/>
          <bgColor theme="4" tint="0.79998168889431442"/>
        </patternFill>
      </fill>
      <alignment horizontal="right" vertical="bottom" textRotation="0" wrapText="0" relativeIndent="0" justifyLastLine="0" shrinkToFit="0" readingOrder="0"/>
      <border diagonalUp="0" diagonalDown="0" outline="0">
        <left style="thin">
          <color theme="0"/>
        </left>
        <right style="thick">
          <color theme="0"/>
        </right>
        <top style="thin">
          <color theme="0"/>
        </top>
        <bottom style="thin">
          <color theme="0"/>
        </bottom>
      </border>
    </dxf>
    <dxf>
      <font>
        <b val="0"/>
        <i val="0"/>
        <strike val="0"/>
        <condense val="0"/>
        <extend val="0"/>
        <outline val="0"/>
        <shadow val="0"/>
        <u val="none"/>
        <vertAlign val="baseline"/>
        <sz val="12"/>
        <color theme="1"/>
        <name val="Calibri"/>
        <scheme val="minor"/>
      </font>
      <numFmt numFmtId="167" formatCode="0.0%"/>
      <fill>
        <patternFill patternType="solid">
          <fgColor indexed="64"/>
          <bgColor theme="4" tint="0.79998168889431442"/>
        </patternFill>
      </fill>
      <alignment horizontal="right" vertical="bottom" textRotation="0" wrapText="0" relative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Calibri"/>
        <scheme val="minor"/>
      </font>
      <numFmt numFmtId="173" formatCode="_-* #,##0\ _€_-;\-* #,##0\ _€_-;_-* &quot;-&quot;??\ _€_-;_-@_-"/>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7" formatCode="0.0%"/>
      <fill>
        <patternFill patternType="solid">
          <fgColor indexed="64"/>
          <bgColor theme="4" tint="0.79998168889431442"/>
        </patternFill>
      </fill>
      <alignment horizontal="right" vertical="bottom" textRotation="0" wrapText="0" relativeIndent="0" justifyLastLine="0" shrinkToFit="0" readingOrder="0"/>
      <border diagonalUp="0" diagonalDown="0" outline="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9" formatCode="_-* #,##0\ &quot;€&quot;_-;\-* #,##0\ &quot;€&quot;_-;_-* &quot;-&quot;??\ &quot;€&quot;_-;_-@_-"/>
      <fill>
        <patternFill patternType="solid">
          <fgColor indexed="64"/>
          <bgColor theme="4" tint="0.59999389629810485"/>
        </patternFill>
      </fill>
      <alignment horizontal="right" vertical="bottom" textRotation="0" wrapText="0" relativeIndent="0" justifyLastLine="0" shrinkToFit="0" readingOrder="0"/>
      <border diagonalUp="0" diagonalDown="0">
        <left style="thick">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4" tint="0.79998168889431442"/>
        </patternFill>
      </fill>
      <alignment horizontal="right" vertical="bottom" textRotation="0" wrapText="0" relativeIndent="0" justifyLastLine="0" shrinkToFit="0" readingOrder="0"/>
      <border diagonalUp="0" diagonalDown="0">
        <left style="thin">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4" tint="0.79998168889431442"/>
        </patternFill>
      </fill>
      <alignment horizontal="right" vertical="bottom" textRotation="0" wrapText="0" relativeIndent="0" justifyLastLine="0" shrinkToFit="0" readingOrder="0"/>
      <border diagonalUp="0" diagonalDown="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4" tint="0.79998168889431442"/>
        </patternFill>
      </fill>
      <alignment horizontal="right" vertical="bottom" textRotation="0" wrapText="0" relativeIndent="0" justifyLastLine="0" shrinkToFit="0" readingOrder="0"/>
      <border diagonalUp="0" diagonalDown="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 formatCode="0"/>
      <fill>
        <patternFill patternType="solid">
          <fgColor indexed="64"/>
          <bgColor theme="4" tint="0.59999389629810485"/>
        </patternFill>
      </fill>
      <alignment horizontal="left" vertical="bottom" textRotation="0" wrapText="0" relativeIndent="0" justifyLastLine="0" shrinkToFit="0" readingOrder="0"/>
      <border diagonalUp="0" diagonalDown="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4" tint="0.79998168889431442"/>
        </patternFill>
      </fill>
      <alignment horizontal="right" vertical="bottom" textRotation="0" wrapText="0" relativeIndent="0" justifyLastLine="0" shrinkToFit="0" readingOrder="0"/>
      <border diagonalUp="0" diagonalDown="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4" tint="0.79998168889431442"/>
        </patternFill>
      </fill>
      <alignment horizontal="center" vertical="bottom" textRotation="0" wrapText="0" relativeIndent="0" justifyLastLine="0" shrinkToFit="0" readingOrder="0"/>
      <border diagonalUp="0" diagonalDown="0">
        <left style="thin">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2" formatCode="0.00"/>
      <fill>
        <patternFill patternType="solid">
          <fgColor indexed="64"/>
          <bgColor theme="4" tint="0.79998168889431442"/>
        </patternFill>
      </fill>
      <alignment horizontal="right" vertical="bottom" textRotation="0" wrapText="0" relativeIndent="0" justifyLastLine="0" shrinkToFit="0" readingOrder="0"/>
      <border diagonalUp="0" diagonalDown="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9" tint="0.79998168889431442"/>
        </patternFill>
      </fill>
      <border diagonalUp="0" diagonalDown="0" outline="0">
        <left style="thick">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9" tint="0.59999389629810485"/>
        </patternFill>
      </fill>
      <border diagonalUp="0" diagonalDown="0" outline="0">
        <left/>
        <right style="thick">
          <color theme="0"/>
        </right>
        <top style="thin">
          <color theme="0"/>
        </top>
        <bottom style="thin">
          <color theme="0"/>
        </bottom>
      </border>
      <protection locked="1" hidden="0"/>
    </dxf>
    <dxf>
      <font>
        <strike val="0"/>
        <outline val="0"/>
        <shadow val="0"/>
        <u val="none"/>
        <vertAlign val="baseline"/>
        <sz val="12"/>
        <color theme="1"/>
        <name val="Calibri"/>
        <scheme val="minor"/>
      </font>
      <fill>
        <patternFill>
          <fgColor indexed="64"/>
          <bgColor rgb="FFFFBEA9"/>
        </patternFill>
      </fill>
      <alignment horizontal="right" vertical="bottom" textRotation="0" wrapText="0" relativeIndent="1" justifyLastLine="0" shrinkToFit="0" readingOrder="0"/>
      <border diagonalUp="0" diagonalDown="0" outline="0">
        <left style="thick">
          <color theme="0"/>
        </left>
        <right style="thick">
          <color theme="0"/>
        </right>
        <top/>
        <bottom/>
      </border>
      <protection locked="1" hidden="0"/>
    </dxf>
    <dxf>
      <border diagonalUp="0" diagonalDown="0">
        <left/>
      </border>
    </dxf>
    <dxf>
      <protection locked="1" hidden="0"/>
    </dxf>
    <dxf>
      <border>
        <bottom style="thick">
          <color theme="0"/>
        </bottom>
      </border>
    </dxf>
    <dxf>
      <alignment horizontal="center" vertical="center" textRotation="0" wrapText="1" indent="0" justifyLastLine="0" shrinkToFit="0" readingOrder="0"/>
      <border diagonalUp="0" diagonalDown="0" outline="0">
        <left style="thick">
          <color theme="0"/>
        </left>
        <right style="thick">
          <color theme="0"/>
        </right>
        <top/>
        <bottom/>
      </border>
      <protection locked="1" hidden="0"/>
    </dxf>
    <dxf>
      <font>
        <color rgb="FF9C0006"/>
      </font>
    </dxf>
    <dxf>
      <font>
        <color rgb="FF9C0006"/>
      </font>
    </dxf>
    <dxf>
      <font>
        <color rgb="FF9C0006"/>
      </font>
    </dxf>
    <dxf>
      <font>
        <color rgb="FF9C0006"/>
      </font>
    </dxf>
  </dxfs>
  <tableStyles count="0" defaultTableStyle="TableStyleMedium9" defaultPivotStyle="PivotStyleMedium7"/>
  <colors>
    <mruColors>
      <color rgb="FFA9D37F"/>
      <color rgb="FFFFBEA9"/>
      <color rgb="FFFFC742"/>
      <color rgb="FFFFA942"/>
      <color rgb="FFF9696B"/>
      <color rgb="FF63BE7B"/>
      <color rgb="FF86C97D"/>
      <color rgb="FFCCDE82"/>
      <color rgb="FFEFE783"/>
      <color rgb="FFFEDC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de parados sin prestación</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Gráficos!$I$121</c:f>
              <c:numCache>
                <c:formatCode>General</c:formatCode>
                <c:ptCount val="1"/>
                <c:pt idx="0">
                  <c:v>0</c:v>
                </c:pt>
              </c:numCache>
            </c:numRef>
          </c:val>
          <c:extLst>
            <c:ext xmlns:c16="http://schemas.microsoft.com/office/drawing/2014/chart" uri="{C3380CC4-5D6E-409C-BE32-E72D297353CC}">
              <c16:uniqueId val="{00000000-12A9-1B4B-8F9C-265C1E17804B}"/>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Gráficos!$I$122</c:f>
              <c:numCache>
                <c:formatCode>General</c:formatCode>
                <c:ptCount val="1"/>
                <c:pt idx="0">
                  <c:v>0</c:v>
                </c:pt>
              </c:numCache>
            </c:numRef>
          </c:val>
          <c:extLst>
            <c:ext xmlns:c16="http://schemas.microsoft.com/office/drawing/2014/chart" uri="{C3380CC4-5D6E-409C-BE32-E72D297353CC}">
              <c16:uniqueId val="{00000001-12A9-1B4B-8F9C-265C1E17804B}"/>
            </c:ext>
          </c:extLst>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Gráficos!$I$123</c:f>
              <c:numCache>
                <c:formatCode>General</c:formatCode>
                <c:ptCount val="1"/>
                <c:pt idx="0">
                  <c:v>0</c:v>
                </c:pt>
              </c:numCache>
            </c:numRef>
          </c:val>
          <c:extLst>
            <c:ext xmlns:c16="http://schemas.microsoft.com/office/drawing/2014/chart" uri="{C3380CC4-5D6E-409C-BE32-E72D297353CC}">
              <c16:uniqueId val="{00000002-12A9-1B4B-8F9C-265C1E17804B}"/>
            </c:ext>
          </c:extLst>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Gráficos!$I$124</c:f>
              <c:numCache>
                <c:formatCode>General</c:formatCode>
                <c:ptCount val="1"/>
                <c:pt idx="0">
                  <c:v>0</c:v>
                </c:pt>
              </c:numCache>
            </c:numRef>
          </c:val>
          <c:extLst>
            <c:ext xmlns:c16="http://schemas.microsoft.com/office/drawing/2014/chart" uri="{C3380CC4-5D6E-409C-BE32-E72D297353CC}">
              <c16:uniqueId val="{00000003-12A9-1B4B-8F9C-265C1E17804B}"/>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Gráficos!$I$125</c:f>
              <c:numCache>
                <c:formatCode>General</c:formatCode>
                <c:ptCount val="1"/>
                <c:pt idx="0">
                  <c:v>0</c:v>
                </c:pt>
              </c:numCache>
            </c:numRef>
          </c:val>
          <c:extLst>
            <c:ext xmlns:c16="http://schemas.microsoft.com/office/drawing/2014/chart" uri="{C3380CC4-5D6E-409C-BE32-E72D297353CC}">
              <c16:uniqueId val="{00000004-12A9-1B4B-8F9C-265C1E17804B}"/>
            </c:ext>
          </c:extLst>
        </c:ser>
        <c:dLbls>
          <c:showLegendKey val="0"/>
          <c:showVal val="0"/>
          <c:showCatName val="0"/>
          <c:showSerName val="0"/>
          <c:showPercent val="0"/>
          <c:showBubbleSize val="0"/>
        </c:dLbls>
        <c:gapWidth val="150"/>
        <c:overlap val="100"/>
        <c:axId val="118969088"/>
        <c:axId val="118970624"/>
      </c:barChart>
      <c:catAx>
        <c:axId val="118969088"/>
        <c:scaling>
          <c:orientation val="minMax"/>
        </c:scaling>
        <c:delete val="1"/>
        <c:axPos val="b"/>
        <c:majorTickMark val="none"/>
        <c:minorTickMark val="none"/>
        <c:tickLblPos val="none"/>
        <c:crossAx val="118970624"/>
        <c:crosses val="autoZero"/>
        <c:auto val="1"/>
        <c:lblAlgn val="ctr"/>
        <c:lblOffset val="100"/>
        <c:noMultiLvlLbl val="0"/>
      </c:catAx>
      <c:valAx>
        <c:axId val="11897062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18969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Familas perceptoras renta mínima</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Gráficos!$E$121</c:f>
              <c:numCache>
                <c:formatCode>0</c:formatCode>
                <c:ptCount val="1"/>
                <c:pt idx="0">
                  <c:v>0</c:v>
                </c:pt>
              </c:numCache>
            </c:numRef>
          </c:val>
          <c:extLst>
            <c:ext xmlns:c16="http://schemas.microsoft.com/office/drawing/2014/chart" uri="{C3380CC4-5D6E-409C-BE32-E72D297353CC}">
              <c16:uniqueId val="{00000000-1432-164E-A0FC-0ACD27EC83AB}"/>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Gráficos!$E$122</c:f>
              <c:numCache>
                <c:formatCode>0</c:formatCode>
                <c:ptCount val="1"/>
                <c:pt idx="0">
                  <c:v>0</c:v>
                </c:pt>
              </c:numCache>
            </c:numRef>
          </c:val>
          <c:extLst>
            <c:ext xmlns:c16="http://schemas.microsoft.com/office/drawing/2014/chart" uri="{C3380CC4-5D6E-409C-BE32-E72D297353CC}">
              <c16:uniqueId val="{00000001-1432-164E-A0FC-0ACD27EC83AB}"/>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Gráficos!$E$123</c:f>
              <c:numCache>
                <c:formatCode>0</c:formatCode>
                <c:ptCount val="1"/>
                <c:pt idx="0">
                  <c:v>0</c:v>
                </c:pt>
              </c:numCache>
            </c:numRef>
          </c:val>
          <c:extLst>
            <c:ext xmlns:c16="http://schemas.microsoft.com/office/drawing/2014/chart" uri="{C3380CC4-5D6E-409C-BE32-E72D297353CC}">
              <c16:uniqueId val="{00000002-1432-164E-A0FC-0ACD27EC83AB}"/>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Gráficos!$E$124</c:f>
              <c:numCache>
                <c:formatCode>0</c:formatCode>
                <c:ptCount val="1"/>
                <c:pt idx="0">
                  <c:v>0</c:v>
                </c:pt>
              </c:numCache>
            </c:numRef>
          </c:val>
          <c:extLst>
            <c:ext xmlns:c16="http://schemas.microsoft.com/office/drawing/2014/chart" uri="{C3380CC4-5D6E-409C-BE32-E72D297353CC}">
              <c16:uniqueId val="{00000003-1432-164E-A0FC-0ACD27EC83AB}"/>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Gráficos!$E$125</c:f>
              <c:numCache>
                <c:formatCode>0</c:formatCode>
                <c:ptCount val="1"/>
                <c:pt idx="0">
                  <c:v>0</c:v>
                </c:pt>
              </c:numCache>
            </c:numRef>
          </c:val>
          <c:extLst>
            <c:ext xmlns:c16="http://schemas.microsoft.com/office/drawing/2014/chart" uri="{C3380CC4-5D6E-409C-BE32-E72D297353CC}">
              <c16:uniqueId val="{00000004-1432-164E-A0FC-0ACD27EC83AB}"/>
            </c:ext>
          </c:extLst>
        </c:ser>
        <c:dLbls>
          <c:showLegendKey val="0"/>
          <c:showVal val="0"/>
          <c:showCatName val="0"/>
          <c:showSerName val="0"/>
          <c:showPercent val="0"/>
          <c:showBubbleSize val="0"/>
        </c:dLbls>
        <c:gapWidth val="150"/>
        <c:overlap val="100"/>
        <c:axId val="147445248"/>
        <c:axId val="147446784"/>
      </c:barChart>
      <c:catAx>
        <c:axId val="147445248"/>
        <c:scaling>
          <c:orientation val="minMax"/>
        </c:scaling>
        <c:delete val="1"/>
        <c:axPos val="b"/>
        <c:majorTickMark val="none"/>
        <c:minorTickMark val="none"/>
        <c:tickLblPos val="none"/>
        <c:crossAx val="147446784"/>
        <c:crosses val="autoZero"/>
        <c:auto val="1"/>
        <c:lblAlgn val="ctr"/>
        <c:lblOffset val="100"/>
        <c:noMultiLvlLbl val="0"/>
      </c:catAx>
      <c:valAx>
        <c:axId val="14744678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7445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Renta media hogar</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Gráficos!$F$121</c:f>
              <c:numCache>
                <c:formatCode>0</c:formatCode>
                <c:ptCount val="1"/>
                <c:pt idx="0">
                  <c:v>0</c:v>
                </c:pt>
              </c:numCache>
            </c:numRef>
          </c:val>
          <c:extLst>
            <c:ext xmlns:c16="http://schemas.microsoft.com/office/drawing/2014/chart" uri="{C3380CC4-5D6E-409C-BE32-E72D297353CC}">
              <c16:uniqueId val="{00000000-F208-6F49-8ACE-0505B4AD2DA4}"/>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Gráficos!$F$122</c:f>
              <c:numCache>
                <c:formatCode>0</c:formatCode>
                <c:ptCount val="1"/>
                <c:pt idx="0">
                  <c:v>0</c:v>
                </c:pt>
              </c:numCache>
            </c:numRef>
          </c:val>
          <c:extLst>
            <c:ext xmlns:c16="http://schemas.microsoft.com/office/drawing/2014/chart" uri="{C3380CC4-5D6E-409C-BE32-E72D297353CC}">
              <c16:uniqueId val="{00000001-F208-6F49-8ACE-0505B4AD2DA4}"/>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Gráficos!$F$123</c:f>
              <c:numCache>
                <c:formatCode>0</c:formatCode>
                <c:ptCount val="1"/>
                <c:pt idx="0">
                  <c:v>0</c:v>
                </c:pt>
              </c:numCache>
            </c:numRef>
          </c:val>
          <c:extLst>
            <c:ext xmlns:c16="http://schemas.microsoft.com/office/drawing/2014/chart" uri="{C3380CC4-5D6E-409C-BE32-E72D297353CC}">
              <c16:uniqueId val="{00000002-F208-6F49-8ACE-0505B4AD2DA4}"/>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Gráficos!$F$124</c:f>
              <c:numCache>
                <c:formatCode>0</c:formatCode>
                <c:ptCount val="1"/>
                <c:pt idx="0">
                  <c:v>0</c:v>
                </c:pt>
              </c:numCache>
            </c:numRef>
          </c:val>
          <c:extLst>
            <c:ext xmlns:c16="http://schemas.microsoft.com/office/drawing/2014/chart" uri="{C3380CC4-5D6E-409C-BE32-E72D297353CC}">
              <c16:uniqueId val="{00000003-F208-6F49-8ACE-0505B4AD2DA4}"/>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Gráficos!$F$125</c:f>
              <c:numCache>
                <c:formatCode>0</c:formatCode>
                <c:ptCount val="1"/>
                <c:pt idx="0">
                  <c:v>0</c:v>
                </c:pt>
              </c:numCache>
            </c:numRef>
          </c:val>
          <c:extLst>
            <c:ext xmlns:c16="http://schemas.microsoft.com/office/drawing/2014/chart" uri="{C3380CC4-5D6E-409C-BE32-E72D297353CC}">
              <c16:uniqueId val="{00000004-F208-6F49-8ACE-0505B4AD2DA4}"/>
            </c:ext>
          </c:extLst>
        </c:ser>
        <c:dLbls>
          <c:showLegendKey val="0"/>
          <c:showVal val="0"/>
          <c:showCatName val="0"/>
          <c:showSerName val="0"/>
          <c:showPercent val="0"/>
          <c:showBubbleSize val="0"/>
        </c:dLbls>
        <c:gapWidth val="150"/>
        <c:overlap val="100"/>
        <c:axId val="147492224"/>
        <c:axId val="147506304"/>
      </c:barChart>
      <c:catAx>
        <c:axId val="147492224"/>
        <c:scaling>
          <c:orientation val="minMax"/>
        </c:scaling>
        <c:delete val="1"/>
        <c:axPos val="b"/>
        <c:majorTickMark val="none"/>
        <c:minorTickMark val="none"/>
        <c:tickLblPos val="none"/>
        <c:crossAx val="147506304"/>
        <c:crosses val="autoZero"/>
        <c:auto val="1"/>
        <c:lblAlgn val="ctr"/>
        <c:lblOffset val="100"/>
        <c:noMultiLvlLbl val="0"/>
      </c:catAx>
      <c:valAx>
        <c:axId val="14750630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7492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Población</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Gráficos!$J$121</c:f>
              <c:numCache>
                <c:formatCode>0.0000</c:formatCode>
                <c:ptCount val="1"/>
                <c:pt idx="0">
                  <c:v>0</c:v>
                </c:pt>
              </c:numCache>
            </c:numRef>
          </c:val>
          <c:extLst>
            <c:ext xmlns:c16="http://schemas.microsoft.com/office/drawing/2014/chart" uri="{C3380CC4-5D6E-409C-BE32-E72D297353CC}">
              <c16:uniqueId val="{00000000-42E1-9A4B-A7F9-66371241708E}"/>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Gráficos!$J$122</c:f>
              <c:numCache>
                <c:formatCode>0.0000</c:formatCode>
                <c:ptCount val="1"/>
                <c:pt idx="0">
                  <c:v>0</c:v>
                </c:pt>
              </c:numCache>
            </c:numRef>
          </c:val>
          <c:extLst>
            <c:ext xmlns:c16="http://schemas.microsoft.com/office/drawing/2014/chart" uri="{C3380CC4-5D6E-409C-BE32-E72D297353CC}">
              <c16:uniqueId val="{00000001-42E1-9A4B-A7F9-66371241708E}"/>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Gráficos!$J$123</c:f>
              <c:numCache>
                <c:formatCode>0.0000</c:formatCode>
                <c:ptCount val="1"/>
                <c:pt idx="0">
                  <c:v>0</c:v>
                </c:pt>
              </c:numCache>
            </c:numRef>
          </c:val>
          <c:extLst>
            <c:ext xmlns:c16="http://schemas.microsoft.com/office/drawing/2014/chart" uri="{C3380CC4-5D6E-409C-BE32-E72D297353CC}">
              <c16:uniqueId val="{00000002-42E1-9A4B-A7F9-66371241708E}"/>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Gráficos!$J$124</c:f>
              <c:numCache>
                <c:formatCode>0.0000</c:formatCode>
                <c:ptCount val="1"/>
                <c:pt idx="0">
                  <c:v>0</c:v>
                </c:pt>
              </c:numCache>
            </c:numRef>
          </c:val>
          <c:extLst>
            <c:ext xmlns:c16="http://schemas.microsoft.com/office/drawing/2014/chart" uri="{C3380CC4-5D6E-409C-BE32-E72D297353CC}">
              <c16:uniqueId val="{00000003-42E1-9A4B-A7F9-66371241708E}"/>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Gráficos!$J$125</c:f>
              <c:numCache>
                <c:formatCode>0.0000</c:formatCode>
                <c:ptCount val="1"/>
                <c:pt idx="0">
                  <c:v>0</c:v>
                </c:pt>
              </c:numCache>
            </c:numRef>
          </c:val>
          <c:extLst>
            <c:ext xmlns:c16="http://schemas.microsoft.com/office/drawing/2014/chart" uri="{C3380CC4-5D6E-409C-BE32-E72D297353CC}">
              <c16:uniqueId val="{00000004-42E1-9A4B-A7F9-66371241708E}"/>
            </c:ext>
          </c:extLst>
        </c:ser>
        <c:dLbls>
          <c:showLegendKey val="0"/>
          <c:showVal val="0"/>
          <c:showCatName val="0"/>
          <c:showSerName val="0"/>
          <c:showPercent val="0"/>
          <c:showBubbleSize val="0"/>
        </c:dLbls>
        <c:gapWidth val="150"/>
        <c:overlap val="100"/>
        <c:axId val="149001728"/>
        <c:axId val="149003264"/>
      </c:barChart>
      <c:catAx>
        <c:axId val="149001728"/>
        <c:scaling>
          <c:orientation val="minMax"/>
        </c:scaling>
        <c:delete val="1"/>
        <c:axPos val="b"/>
        <c:majorTickMark val="none"/>
        <c:minorTickMark val="none"/>
        <c:tickLblPos val="none"/>
        <c:crossAx val="149003264"/>
        <c:crosses val="autoZero"/>
        <c:auto val="1"/>
        <c:lblAlgn val="ctr"/>
        <c:lblOffset val="100"/>
        <c:noMultiLvlLbl val="0"/>
      </c:catAx>
      <c:valAx>
        <c:axId val="14900326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9001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Estatus Socio-económico</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Gráficos!$K$121</c:f>
              <c:numCache>
                <c:formatCode>0.0000</c:formatCode>
                <c:ptCount val="1"/>
                <c:pt idx="0">
                  <c:v>0</c:v>
                </c:pt>
              </c:numCache>
            </c:numRef>
          </c:val>
          <c:extLst>
            <c:ext xmlns:c16="http://schemas.microsoft.com/office/drawing/2014/chart" uri="{C3380CC4-5D6E-409C-BE32-E72D297353CC}">
              <c16:uniqueId val="{00000000-EEF4-2845-8661-705D13829B76}"/>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Gráficos!$K$122</c:f>
              <c:numCache>
                <c:formatCode>0.0000</c:formatCode>
                <c:ptCount val="1"/>
                <c:pt idx="0">
                  <c:v>0</c:v>
                </c:pt>
              </c:numCache>
            </c:numRef>
          </c:val>
          <c:extLst>
            <c:ext xmlns:c16="http://schemas.microsoft.com/office/drawing/2014/chart" uri="{C3380CC4-5D6E-409C-BE32-E72D297353CC}">
              <c16:uniqueId val="{00000001-EEF4-2845-8661-705D13829B76}"/>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Gráficos!$K$123</c:f>
              <c:numCache>
                <c:formatCode>0.0000</c:formatCode>
                <c:ptCount val="1"/>
                <c:pt idx="0">
                  <c:v>0</c:v>
                </c:pt>
              </c:numCache>
            </c:numRef>
          </c:val>
          <c:extLst>
            <c:ext xmlns:c16="http://schemas.microsoft.com/office/drawing/2014/chart" uri="{C3380CC4-5D6E-409C-BE32-E72D297353CC}">
              <c16:uniqueId val="{00000002-EEF4-2845-8661-705D13829B76}"/>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Gráficos!$K$124</c:f>
              <c:numCache>
                <c:formatCode>0.0000</c:formatCode>
                <c:ptCount val="1"/>
                <c:pt idx="0">
                  <c:v>0</c:v>
                </c:pt>
              </c:numCache>
            </c:numRef>
          </c:val>
          <c:extLst>
            <c:ext xmlns:c16="http://schemas.microsoft.com/office/drawing/2014/chart" uri="{C3380CC4-5D6E-409C-BE32-E72D297353CC}">
              <c16:uniqueId val="{00000003-EEF4-2845-8661-705D13829B76}"/>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Gráficos!$K$125</c:f>
              <c:numCache>
                <c:formatCode>0.0000</c:formatCode>
                <c:ptCount val="1"/>
                <c:pt idx="0">
                  <c:v>0</c:v>
                </c:pt>
              </c:numCache>
            </c:numRef>
          </c:val>
          <c:extLst>
            <c:ext xmlns:c16="http://schemas.microsoft.com/office/drawing/2014/chart" uri="{C3380CC4-5D6E-409C-BE32-E72D297353CC}">
              <c16:uniqueId val="{00000004-EEF4-2845-8661-705D13829B76}"/>
            </c:ext>
          </c:extLst>
        </c:ser>
        <c:dLbls>
          <c:showLegendKey val="0"/>
          <c:showVal val="0"/>
          <c:showCatName val="0"/>
          <c:showSerName val="0"/>
          <c:showPercent val="0"/>
          <c:showBubbleSize val="0"/>
        </c:dLbls>
        <c:gapWidth val="150"/>
        <c:overlap val="100"/>
        <c:axId val="149044608"/>
        <c:axId val="149058688"/>
      </c:barChart>
      <c:catAx>
        <c:axId val="149044608"/>
        <c:scaling>
          <c:orientation val="minMax"/>
        </c:scaling>
        <c:delete val="1"/>
        <c:axPos val="b"/>
        <c:majorTickMark val="none"/>
        <c:minorTickMark val="none"/>
        <c:tickLblPos val="none"/>
        <c:crossAx val="149058688"/>
        <c:crosses val="autoZero"/>
        <c:auto val="1"/>
        <c:lblAlgn val="ctr"/>
        <c:lblOffset val="100"/>
        <c:noMultiLvlLbl val="0"/>
      </c:catAx>
      <c:valAx>
        <c:axId val="1490586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9044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Actividad Económica</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Gráficos!$L$121</c:f>
              <c:numCache>
                <c:formatCode>0.0000</c:formatCode>
                <c:ptCount val="1"/>
                <c:pt idx="0">
                  <c:v>0</c:v>
                </c:pt>
              </c:numCache>
            </c:numRef>
          </c:val>
          <c:extLst>
            <c:ext xmlns:c16="http://schemas.microsoft.com/office/drawing/2014/chart" uri="{C3380CC4-5D6E-409C-BE32-E72D297353CC}">
              <c16:uniqueId val="{00000000-5958-3D4F-867D-24F9B6725820}"/>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Gráficos!$L$122</c:f>
              <c:numCache>
                <c:formatCode>0.0000</c:formatCode>
                <c:ptCount val="1"/>
                <c:pt idx="0">
                  <c:v>0</c:v>
                </c:pt>
              </c:numCache>
            </c:numRef>
          </c:val>
          <c:extLst>
            <c:ext xmlns:c16="http://schemas.microsoft.com/office/drawing/2014/chart" uri="{C3380CC4-5D6E-409C-BE32-E72D297353CC}">
              <c16:uniqueId val="{00000001-5958-3D4F-867D-24F9B6725820}"/>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Gráficos!$L$123</c:f>
              <c:numCache>
                <c:formatCode>0.0000</c:formatCode>
                <c:ptCount val="1"/>
                <c:pt idx="0">
                  <c:v>0</c:v>
                </c:pt>
              </c:numCache>
            </c:numRef>
          </c:val>
          <c:extLst>
            <c:ext xmlns:c16="http://schemas.microsoft.com/office/drawing/2014/chart" uri="{C3380CC4-5D6E-409C-BE32-E72D297353CC}">
              <c16:uniqueId val="{00000002-5958-3D4F-867D-24F9B6725820}"/>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Gráficos!$L$124</c:f>
              <c:numCache>
                <c:formatCode>0.0000</c:formatCode>
                <c:ptCount val="1"/>
                <c:pt idx="0">
                  <c:v>0</c:v>
                </c:pt>
              </c:numCache>
            </c:numRef>
          </c:val>
          <c:extLst>
            <c:ext xmlns:c16="http://schemas.microsoft.com/office/drawing/2014/chart" uri="{C3380CC4-5D6E-409C-BE32-E72D297353CC}">
              <c16:uniqueId val="{00000003-5958-3D4F-867D-24F9B6725820}"/>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Gráficos!$L$125</c:f>
              <c:numCache>
                <c:formatCode>0.0000</c:formatCode>
                <c:ptCount val="1"/>
                <c:pt idx="0">
                  <c:v>0</c:v>
                </c:pt>
              </c:numCache>
            </c:numRef>
          </c:val>
          <c:extLst>
            <c:ext xmlns:c16="http://schemas.microsoft.com/office/drawing/2014/chart" uri="{C3380CC4-5D6E-409C-BE32-E72D297353CC}">
              <c16:uniqueId val="{00000004-5958-3D4F-867D-24F9B6725820}"/>
            </c:ext>
          </c:extLst>
        </c:ser>
        <c:dLbls>
          <c:showLegendKey val="0"/>
          <c:showVal val="0"/>
          <c:showCatName val="0"/>
          <c:showSerName val="0"/>
          <c:showPercent val="0"/>
          <c:showBubbleSize val="0"/>
        </c:dLbls>
        <c:gapWidth val="150"/>
        <c:overlap val="100"/>
        <c:axId val="148772352"/>
        <c:axId val="148773888"/>
      </c:barChart>
      <c:catAx>
        <c:axId val="148772352"/>
        <c:scaling>
          <c:orientation val="minMax"/>
        </c:scaling>
        <c:delete val="1"/>
        <c:axPos val="b"/>
        <c:majorTickMark val="none"/>
        <c:minorTickMark val="none"/>
        <c:tickLblPos val="none"/>
        <c:crossAx val="148773888"/>
        <c:crosses val="autoZero"/>
        <c:auto val="1"/>
        <c:lblAlgn val="ctr"/>
        <c:lblOffset val="100"/>
        <c:noMultiLvlLbl val="0"/>
      </c:catAx>
      <c:valAx>
        <c:axId val="1487738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877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Desarrollo Urnanístico</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Gráficos!$M$121</c:f>
              <c:numCache>
                <c:formatCode>0.0000</c:formatCode>
                <c:ptCount val="1"/>
                <c:pt idx="0">
                  <c:v>0</c:v>
                </c:pt>
              </c:numCache>
            </c:numRef>
          </c:val>
          <c:extLst>
            <c:ext xmlns:c16="http://schemas.microsoft.com/office/drawing/2014/chart" uri="{C3380CC4-5D6E-409C-BE32-E72D297353CC}">
              <c16:uniqueId val="{00000000-F9B1-6749-9CEF-DBF9CEB8116B}"/>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Gráficos!$M$122</c:f>
              <c:numCache>
                <c:formatCode>0.0000</c:formatCode>
                <c:ptCount val="1"/>
                <c:pt idx="0">
                  <c:v>0</c:v>
                </c:pt>
              </c:numCache>
            </c:numRef>
          </c:val>
          <c:extLst>
            <c:ext xmlns:c16="http://schemas.microsoft.com/office/drawing/2014/chart" uri="{C3380CC4-5D6E-409C-BE32-E72D297353CC}">
              <c16:uniqueId val="{00000001-F9B1-6749-9CEF-DBF9CEB8116B}"/>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Gráficos!$M$123</c:f>
              <c:numCache>
                <c:formatCode>0.0000</c:formatCode>
                <c:ptCount val="1"/>
                <c:pt idx="0">
                  <c:v>0</c:v>
                </c:pt>
              </c:numCache>
            </c:numRef>
          </c:val>
          <c:extLst>
            <c:ext xmlns:c16="http://schemas.microsoft.com/office/drawing/2014/chart" uri="{C3380CC4-5D6E-409C-BE32-E72D297353CC}">
              <c16:uniqueId val="{00000002-F9B1-6749-9CEF-DBF9CEB8116B}"/>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Gráficos!$M$124</c:f>
              <c:numCache>
                <c:formatCode>0.0000</c:formatCode>
                <c:ptCount val="1"/>
                <c:pt idx="0">
                  <c:v>0</c:v>
                </c:pt>
              </c:numCache>
            </c:numRef>
          </c:val>
          <c:extLst>
            <c:ext xmlns:c16="http://schemas.microsoft.com/office/drawing/2014/chart" uri="{C3380CC4-5D6E-409C-BE32-E72D297353CC}">
              <c16:uniqueId val="{00000003-F9B1-6749-9CEF-DBF9CEB8116B}"/>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Gráficos!$M$125</c:f>
              <c:numCache>
                <c:formatCode>0.0000</c:formatCode>
                <c:ptCount val="1"/>
                <c:pt idx="0">
                  <c:v>0</c:v>
                </c:pt>
              </c:numCache>
            </c:numRef>
          </c:val>
          <c:extLst>
            <c:ext xmlns:c16="http://schemas.microsoft.com/office/drawing/2014/chart" uri="{C3380CC4-5D6E-409C-BE32-E72D297353CC}">
              <c16:uniqueId val="{00000004-F9B1-6749-9CEF-DBF9CEB8116B}"/>
            </c:ext>
          </c:extLst>
        </c:ser>
        <c:dLbls>
          <c:showLegendKey val="0"/>
          <c:showVal val="0"/>
          <c:showCatName val="0"/>
          <c:showSerName val="0"/>
          <c:showPercent val="0"/>
          <c:showBubbleSize val="0"/>
        </c:dLbls>
        <c:gapWidth val="150"/>
        <c:overlap val="100"/>
        <c:axId val="148819328"/>
        <c:axId val="148829312"/>
      </c:barChart>
      <c:catAx>
        <c:axId val="148819328"/>
        <c:scaling>
          <c:orientation val="minMax"/>
        </c:scaling>
        <c:delete val="1"/>
        <c:axPos val="b"/>
        <c:majorTickMark val="none"/>
        <c:minorTickMark val="none"/>
        <c:tickLblPos val="none"/>
        <c:crossAx val="148829312"/>
        <c:crosses val="autoZero"/>
        <c:auto val="1"/>
        <c:lblAlgn val="ctr"/>
        <c:lblOffset val="100"/>
        <c:noMultiLvlLbl val="0"/>
      </c:catAx>
      <c:valAx>
        <c:axId val="14882931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8819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Necesidades Asistenciales</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solidFill>
              <a:schemeClr val="accent1"/>
            </a:solid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Gráficos!$D$121</c:f>
              <c:numCache>
                <c:formatCode>0.000</c:formatCode>
                <c:ptCount val="1"/>
                <c:pt idx="0">
                  <c:v>0</c:v>
                </c:pt>
              </c:numCache>
            </c:numRef>
          </c:val>
          <c:extLst>
            <c:ext xmlns:c16="http://schemas.microsoft.com/office/drawing/2014/chart" uri="{C3380CC4-5D6E-409C-BE32-E72D297353CC}">
              <c16:uniqueId val="{00000000-F99C-284F-87DF-BD290FAC08F5}"/>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Gráficos!$D$122</c:f>
              <c:numCache>
                <c:formatCode>0.000</c:formatCode>
                <c:ptCount val="1"/>
                <c:pt idx="0">
                  <c:v>0</c:v>
                </c:pt>
              </c:numCache>
            </c:numRef>
          </c:val>
          <c:extLst>
            <c:ext xmlns:c16="http://schemas.microsoft.com/office/drawing/2014/chart" uri="{C3380CC4-5D6E-409C-BE32-E72D297353CC}">
              <c16:uniqueId val="{00000001-F99C-284F-87DF-BD290FAC08F5}"/>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Gráficos!$D$123</c:f>
              <c:numCache>
                <c:formatCode>0.000</c:formatCode>
                <c:ptCount val="1"/>
                <c:pt idx="0">
                  <c:v>0</c:v>
                </c:pt>
              </c:numCache>
            </c:numRef>
          </c:val>
          <c:extLst>
            <c:ext xmlns:c16="http://schemas.microsoft.com/office/drawing/2014/chart" uri="{C3380CC4-5D6E-409C-BE32-E72D297353CC}">
              <c16:uniqueId val="{00000002-F99C-284F-87DF-BD290FAC08F5}"/>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Gráficos!$D$124</c:f>
              <c:numCache>
                <c:formatCode>0.000</c:formatCode>
                <c:ptCount val="1"/>
                <c:pt idx="0">
                  <c:v>0</c:v>
                </c:pt>
              </c:numCache>
            </c:numRef>
          </c:val>
          <c:extLst>
            <c:ext xmlns:c16="http://schemas.microsoft.com/office/drawing/2014/chart" uri="{C3380CC4-5D6E-409C-BE32-E72D297353CC}">
              <c16:uniqueId val="{00000003-F99C-284F-87DF-BD290FAC08F5}"/>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Gráficos!$D$125</c:f>
              <c:numCache>
                <c:formatCode>0.000</c:formatCode>
                <c:ptCount val="1"/>
                <c:pt idx="0">
                  <c:v>0</c:v>
                </c:pt>
              </c:numCache>
            </c:numRef>
          </c:val>
          <c:extLst>
            <c:ext xmlns:c16="http://schemas.microsoft.com/office/drawing/2014/chart" uri="{C3380CC4-5D6E-409C-BE32-E72D297353CC}">
              <c16:uniqueId val="{00000004-F99C-284F-87DF-BD290FAC08F5}"/>
            </c:ext>
          </c:extLst>
        </c:ser>
        <c:dLbls>
          <c:showLegendKey val="0"/>
          <c:showVal val="0"/>
          <c:showCatName val="0"/>
          <c:showSerName val="0"/>
          <c:showPercent val="0"/>
          <c:showBubbleSize val="0"/>
        </c:dLbls>
        <c:gapWidth val="150"/>
        <c:overlap val="100"/>
        <c:axId val="149153280"/>
        <c:axId val="149154816"/>
      </c:barChart>
      <c:catAx>
        <c:axId val="149153280"/>
        <c:scaling>
          <c:orientation val="minMax"/>
        </c:scaling>
        <c:delete val="1"/>
        <c:axPos val="b"/>
        <c:majorTickMark val="none"/>
        <c:minorTickMark val="none"/>
        <c:tickLblPos val="none"/>
        <c:crossAx val="149154816"/>
        <c:crosses val="autoZero"/>
        <c:auto val="1"/>
        <c:lblAlgn val="ctr"/>
        <c:lblOffset val="100"/>
        <c:noMultiLvlLbl val="0"/>
      </c:catAx>
      <c:valAx>
        <c:axId val="14915481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915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SAD Dependencia</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Gráficos!$O$121</c:f>
              <c:numCache>
                <c:formatCode>0.000</c:formatCode>
                <c:ptCount val="1"/>
                <c:pt idx="0">
                  <c:v>0</c:v>
                </c:pt>
              </c:numCache>
            </c:numRef>
          </c:val>
          <c:extLst>
            <c:ext xmlns:c16="http://schemas.microsoft.com/office/drawing/2014/chart" uri="{C3380CC4-5D6E-409C-BE32-E72D297353CC}">
              <c16:uniqueId val="{00000000-3616-364F-803F-810741FD76D1}"/>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Gráficos!$O$122</c:f>
              <c:numCache>
                <c:formatCode>0.000</c:formatCode>
                <c:ptCount val="1"/>
                <c:pt idx="0">
                  <c:v>0</c:v>
                </c:pt>
              </c:numCache>
            </c:numRef>
          </c:val>
          <c:extLst>
            <c:ext xmlns:c16="http://schemas.microsoft.com/office/drawing/2014/chart" uri="{C3380CC4-5D6E-409C-BE32-E72D297353CC}">
              <c16:uniqueId val="{00000001-3616-364F-803F-810741FD76D1}"/>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Gráficos!$O$123</c:f>
              <c:numCache>
                <c:formatCode>0.000</c:formatCode>
                <c:ptCount val="1"/>
                <c:pt idx="0">
                  <c:v>0</c:v>
                </c:pt>
              </c:numCache>
            </c:numRef>
          </c:val>
          <c:extLst>
            <c:ext xmlns:c16="http://schemas.microsoft.com/office/drawing/2014/chart" uri="{C3380CC4-5D6E-409C-BE32-E72D297353CC}">
              <c16:uniqueId val="{00000002-3616-364F-803F-810741FD76D1}"/>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Gráficos!$O$124</c:f>
              <c:numCache>
                <c:formatCode>0.000</c:formatCode>
                <c:ptCount val="1"/>
                <c:pt idx="0">
                  <c:v>0</c:v>
                </c:pt>
              </c:numCache>
            </c:numRef>
          </c:val>
          <c:extLst>
            <c:ext xmlns:c16="http://schemas.microsoft.com/office/drawing/2014/chart" uri="{C3380CC4-5D6E-409C-BE32-E72D297353CC}">
              <c16:uniqueId val="{00000003-3616-364F-803F-810741FD76D1}"/>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Gráficos!$O$125</c:f>
              <c:numCache>
                <c:formatCode>0.000</c:formatCode>
                <c:ptCount val="1"/>
                <c:pt idx="0">
                  <c:v>0</c:v>
                </c:pt>
              </c:numCache>
            </c:numRef>
          </c:val>
          <c:extLst>
            <c:ext xmlns:c16="http://schemas.microsoft.com/office/drawing/2014/chart" uri="{C3380CC4-5D6E-409C-BE32-E72D297353CC}">
              <c16:uniqueId val="{00000004-3616-364F-803F-810741FD76D1}"/>
            </c:ext>
          </c:extLst>
        </c:ser>
        <c:dLbls>
          <c:showLegendKey val="0"/>
          <c:showVal val="0"/>
          <c:showCatName val="0"/>
          <c:showSerName val="0"/>
          <c:showPercent val="0"/>
          <c:showBubbleSize val="0"/>
        </c:dLbls>
        <c:gapWidth val="150"/>
        <c:overlap val="100"/>
        <c:axId val="149225472"/>
        <c:axId val="149227008"/>
      </c:barChart>
      <c:catAx>
        <c:axId val="149225472"/>
        <c:scaling>
          <c:orientation val="minMax"/>
        </c:scaling>
        <c:delete val="1"/>
        <c:axPos val="b"/>
        <c:majorTickMark val="none"/>
        <c:minorTickMark val="none"/>
        <c:tickLblPos val="none"/>
        <c:crossAx val="149227008"/>
        <c:crosses val="autoZero"/>
        <c:auto val="1"/>
        <c:lblAlgn val="ctr"/>
        <c:lblOffset val="100"/>
        <c:noMultiLvlLbl val="0"/>
      </c:catAx>
      <c:valAx>
        <c:axId val="14922700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9225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Teleasistencia Dependencia</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Gráficos!$P$121</c:f>
              <c:numCache>
                <c:formatCode>0.000</c:formatCode>
                <c:ptCount val="1"/>
                <c:pt idx="0">
                  <c:v>0</c:v>
                </c:pt>
              </c:numCache>
            </c:numRef>
          </c:val>
          <c:extLst>
            <c:ext xmlns:c16="http://schemas.microsoft.com/office/drawing/2014/chart" uri="{C3380CC4-5D6E-409C-BE32-E72D297353CC}">
              <c16:uniqueId val="{00000000-0E65-B042-8B13-16F587E3DAC2}"/>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Gráficos!$P$122</c:f>
              <c:numCache>
                <c:formatCode>0.000</c:formatCode>
                <c:ptCount val="1"/>
                <c:pt idx="0">
                  <c:v>0</c:v>
                </c:pt>
              </c:numCache>
            </c:numRef>
          </c:val>
          <c:extLst>
            <c:ext xmlns:c16="http://schemas.microsoft.com/office/drawing/2014/chart" uri="{C3380CC4-5D6E-409C-BE32-E72D297353CC}">
              <c16:uniqueId val="{00000001-0E65-B042-8B13-16F587E3DAC2}"/>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Gráficos!$P$123</c:f>
              <c:numCache>
                <c:formatCode>0.000</c:formatCode>
                <c:ptCount val="1"/>
                <c:pt idx="0">
                  <c:v>0</c:v>
                </c:pt>
              </c:numCache>
            </c:numRef>
          </c:val>
          <c:extLst>
            <c:ext xmlns:c16="http://schemas.microsoft.com/office/drawing/2014/chart" uri="{C3380CC4-5D6E-409C-BE32-E72D297353CC}">
              <c16:uniqueId val="{00000002-0E65-B042-8B13-16F587E3DAC2}"/>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Gráficos!$P$124</c:f>
              <c:numCache>
                <c:formatCode>0.000</c:formatCode>
                <c:ptCount val="1"/>
                <c:pt idx="0">
                  <c:v>0</c:v>
                </c:pt>
              </c:numCache>
            </c:numRef>
          </c:val>
          <c:extLst>
            <c:ext xmlns:c16="http://schemas.microsoft.com/office/drawing/2014/chart" uri="{C3380CC4-5D6E-409C-BE32-E72D297353CC}">
              <c16:uniqueId val="{00000003-0E65-B042-8B13-16F587E3DAC2}"/>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Gráficos!$P$125</c:f>
              <c:numCache>
                <c:formatCode>0.000</c:formatCode>
                <c:ptCount val="1"/>
                <c:pt idx="0">
                  <c:v>0</c:v>
                </c:pt>
              </c:numCache>
            </c:numRef>
          </c:val>
          <c:extLst>
            <c:ext xmlns:c16="http://schemas.microsoft.com/office/drawing/2014/chart" uri="{C3380CC4-5D6E-409C-BE32-E72D297353CC}">
              <c16:uniqueId val="{00000004-0E65-B042-8B13-16F587E3DAC2}"/>
            </c:ext>
          </c:extLst>
        </c:ser>
        <c:dLbls>
          <c:showLegendKey val="0"/>
          <c:showVal val="0"/>
          <c:showCatName val="0"/>
          <c:showSerName val="0"/>
          <c:showPercent val="0"/>
          <c:showBubbleSize val="0"/>
        </c:dLbls>
        <c:gapWidth val="150"/>
        <c:overlap val="100"/>
        <c:axId val="149268352"/>
        <c:axId val="149269888"/>
      </c:barChart>
      <c:catAx>
        <c:axId val="149268352"/>
        <c:scaling>
          <c:orientation val="minMax"/>
        </c:scaling>
        <c:delete val="1"/>
        <c:axPos val="b"/>
        <c:majorTickMark val="none"/>
        <c:minorTickMark val="none"/>
        <c:tickLblPos val="none"/>
        <c:crossAx val="149269888"/>
        <c:crosses val="autoZero"/>
        <c:auto val="1"/>
        <c:lblAlgn val="ctr"/>
        <c:lblOffset val="100"/>
        <c:noMultiLvlLbl val="0"/>
      </c:catAx>
      <c:valAx>
        <c:axId val="1492698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92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Sin Estudios o Primarios</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Gráficos!$C$121</c:f>
              <c:numCache>
                <c:formatCode>0</c:formatCode>
                <c:ptCount val="1"/>
                <c:pt idx="0">
                  <c:v>0</c:v>
                </c:pt>
              </c:numCache>
            </c:numRef>
          </c:val>
          <c:extLst>
            <c:ext xmlns:c16="http://schemas.microsoft.com/office/drawing/2014/chart" uri="{C3380CC4-5D6E-409C-BE32-E72D297353CC}">
              <c16:uniqueId val="{00000000-C55C-4845-BAC3-CCB72F3829B6}"/>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Gráficos!$C$122</c:f>
              <c:numCache>
                <c:formatCode>0</c:formatCode>
                <c:ptCount val="1"/>
                <c:pt idx="0">
                  <c:v>0</c:v>
                </c:pt>
              </c:numCache>
            </c:numRef>
          </c:val>
          <c:extLst>
            <c:ext xmlns:c16="http://schemas.microsoft.com/office/drawing/2014/chart" uri="{C3380CC4-5D6E-409C-BE32-E72D297353CC}">
              <c16:uniqueId val="{00000001-C55C-4845-BAC3-CCB72F3829B6}"/>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Gráficos!$C$123</c:f>
              <c:numCache>
                <c:formatCode>0</c:formatCode>
                <c:ptCount val="1"/>
                <c:pt idx="0">
                  <c:v>0</c:v>
                </c:pt>
              </c:numCache>
            </c:numRef>
          </c:val>
          <c:extLst>
            <c:ext xmlns:c16="http://schemas.microsoft.com/office/drawing/2014/chart" uri="{C3380CC4-5D6E-409C-BE32-E72D297353CC}">
              <c16:uniqueId val="{00000002-C55C-4845-BAC3-CCB72F3829B6}"/>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Gráficos!$C$124</c:f>
              <c:numCache>
                <c:formatCode>0</c:formatCode>
                <c:ptCount val="1"/>
                <c:pt idx="0">
                  <c:v>0</c:v>
                </c:pt>
              </c:numCache>
            </c:numRef>
          </c:val>
          <c:extLst>
            <c:ext xmlns:c16="http://schemas.microsoft.com/office/drawing/2014/chart" uri="{C3380CC4-5D6E-409C-BE32-E72D297353CC}">
              <c16:uniqueId val="{00000003-C55C-4845-BAC3-CCB72F3829B6}"/>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Gráficos!$C$125</c:f>
              <c:numCache>
                <c:formatCode>0</c:formatCode>
                <c:ptCount val="1"/>
                <c:pt idx="0">
                  <c:v>0</c:v>
                </c:pt>
              </c:numCache>
            </c:numRef>
          </c:val>
          <c:extLst>
            <c:ext xmlns:c16="http://schemas.microsoft.com/office/drawing/2014/chart" uri="{C3380CC4-5D6E-409C-BE32-E72D297353CC}">
              <c16:uniqueId val="{00000004-C55C-4845-BAC3-CCB72F3829B6}"/>
            </c:ext>
          </c:extLst>
        </c:ser>
        <c:dLbls>
          <c:showLegendKey val="0"/>
          <c:showVal val="0"/>
          <c:showCatName val="0"/>
          <c:showSerName val="0"/>
          <c:showPercent val="0"/>
          <c:showBubbleSize val="0"/>
        </c:dLbls>
        <c:gapWidth val="150"/>
        <c:overlap val="100"/>
        <c:axId val="149344256"/>
        <c:axId val="149345792"/>
      </c:barChart>
      <c:catAx>
        <c:axId val="149344256"/>
        <c:scaling>
          <c:orientation val="minMax"/>
        </c:scaling>
        <c:delete val="1"/>
        <c:axPos val="b"/>
        <c:majorTickMark val="none"/>
        <c:minorTickMark val="none"/>
        <c:tickLblPos val="none"/>
        <c:crossAx val="149345792"/>
        <c:crosses val="autoZero"/>
        <c:auto val="1"/>
        <c:lblAlgn val="ctr"/>
        <c:lblOffset val="100"/>
        <c:noMultiLvlLbl val="0"/>
      </c:catAx>
      <c:valAx>
        <c:axId val="14934579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9344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_tradnl" sz="1100"/>
              <a:t>Vulnerabilidad</a:t>
            </a:r>
          </a:p>
        </c:rich>
      </c:tx>
      <c:overlay val="0"/>
      <c:spPr>
        <a:solidFill>
          <a:srgbClr val="FFBEA9"/>
        </a:solid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Gráficos!$R$121</c:f>
              <c:numCache>
                <c:formatCode>0.0000</c:formatCode>
                <c:ptCount val="1"/>
                <c:pt idx="0">
                  <c:v>0</c:v>
                </c:pt>
              </c:numCache>
            </c:numRef>
          </c:val>
          <c:extLst>
            <c:ext xmlns:c16="http://schemas.microsoft.com/office/drawing/2014/chart" uri="{C3380CC4-5D6E-409C-BE32-E72D297353CC}">
              <c16:uniqueId val="{00000000-8C0E-974A-B618-57B784ADA9B6}"/>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Gráficos!$R$122</c:f>
              <c:numCache>
                <c:formatCode>0.0000</c:formatCode>
                <c:ptCount val="1"/>
                <c:pt idx="0">
                  <c:v>0</c:v>
                </c:pt>
              </c:numCache>
            </c:numRef>
          </c:val>
          <c:extLst>
            <c:ext xmlns:c16="http://schemas.microsoft.com/office/drawing/2014/chart" uri="{C3380CC4-5D6E-409C-BE32-E72D297353CC}">
              <c16:uniqueId val="{00000001-8C0E-974A-B618-57B784ADA9B6}"/>
            </c:ext>
          </c:extLst>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Gráficos!$R$123</c:f>
              <c:numCache>
                <c:formatCode>0.0000</c:formatCode>
                <c:ptCount val="1"/>
                <c:pt idx="0">
                  <c:v>0</c:v>
                </c:pt>
              </c:numCache>
            </c:numRef>
          </c:val>
          <c:extLst>
            <c:ext xmlns:c16="http://schemas.microsoft.com/office/drawing/2014/chart" uri="{C3380CC4-5D6E-409C-BE32-E72D297353CC}">
              <c16:uniqueId val="{00000002-8C0E-974A-B618-57B784ADA9B6}"/>
            </c:ext>
          </c:extLst>
        </c:ser>
        <c:ser>
          <c:idx val="3"/>
          <c:order val="3"/>
          <c:spPr>
            <a:solidFill>
              <a:schemeClr val="accent1">
                <a:alpha val="49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Gráficos!$R$124</c:f>
              <c:numCache>
                <c:formatCode>0.0000</c:formatCode>
                <c:ptCount val="1"/>
                <c:pt idx="0">
                  <c:v>0</c:v>
                </c:pt>
              </c:numCache>
            </c:numRef>
          </c:val>
          <c:extLst>
            <c:ext xmlns:c16="http://schemas.microsoft.com/office/drawing/2014/chart" uri="{C3380CC4-5D6E-409C-BE32-E72D297353CC}">
              <c16:uniqueId val="{00000003-8C0E-974A-B618-57B784ADA9B6}"/>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Gráficos!$R$125</c:f>
              <c:numCache>
                <c:formatCode>0.0000</c:formatCode>
                <c:ptCount val="1"/>
                <c:pt idx="0">
                  <c:v>0</c:v>
                </c:pt>
              </c:numCache>
            </c:numRef>
          </c:val>
          <c:extLst>
            <c:ext xmlns:c16="http://schemas.microsoft.com/office/drawing/2014/chart" uri="{C3380CC4-5D6E-409C-BE32-E72D297353CC}">
              <c16:uniqueId val="{00000004-8C0E-974A-B618-57B784ADA9B6}"/>
            </c:ext>
          </c:extLst>
        </c:ser>
        <c:dLbls>
          <c:showLegendKey val="0"/>
          <c:showVal val="0"/>
          <c:showCatName val="0"/>
          <c:showSerName val="0"/>
          <c:showPercent val="0"/>
          <c:showBubbleSize val="0"/>
        </c:dLbls>
        <c:gapWidth val="150"/>
        <c:overlap val="100"/>
        <c:axId val="119011968"/>
        <c:axId val="134750592"/>
      </c:barChart>
      <c:catAx>
        <c:axId val="119011968"/>
        <c:scaling>
          <c:orientation val="minMax"/>
        </c:scaling>
        <c:delete val="1"/>
        <c:axPos val="b"/>
        <c:majorTickMark val="none"/>
        <c:minorTickMark val="none"/>
        <c:tickLblPos val="none"/>
        <c:crossAx val="134750592"/>
        <c:crosses val="autoZero"/>
        <c:auto val="1"/>
        <c:lblAlgn val="ctr"/>
        <c:lblOffset val="100"/>
        <c:noMultiLvlLbl val="0"/>
      </c:catAx>
      <c:valAx>
        <c:axId val="13475059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19011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a:t>
            </a:r>
            <a:r>
              <a:rPr lang="es-ES_tradnl" sz="1100" baseline="0"/>
              <a:t> Paro Absoluto</a:t>
            </a:r>
            <a:endParaRPr lang="es-ES_tradnl" sz="1100"/>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Gráficos!$G$121</c:f>
              <c:numCache>
                <c:formatCode>0.0</c:formatCode>
                <c:ptCount val="1"/>
                <c:pt idx="0">
                  <c:v>0</c:v>
                </c:pt>
              </c:numCache>
            </c:numRef>
          </c:val>
          <c:extLst>
            <c:ext xmlns:c16="http://schemas.microsoft.com/office/drawing/2014/chart" uri="{C3380CC4-5D6E-409C-BE32-E72D297353CC}">
              <c16:uniqueId val="{00000000-980C-0D4C-BA89-3C6D943050AC}"/>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Gráficos!$G$122</c:f>
              <c:numCache>
                <c:formatCode>0.0</c:formatCode>
                <c:ptCount val="1"/>
                <c:pt idx="0">
                  <c:v>0</c:v>
                </c:pt>
              </c:numCache>
            </c:numRef>
          </c:val>
          <c:extLst>
            <c:ext xmlns:c16="http://schemas.microsoft.com/office/drawing/2014/chart" uri="{C3380CC4-5D6E-409C-BE32-E72D297353CC}">
              <c16:uniqueId val="{00000001-980C-0D4C-BA89-3C6D943050AC}"/>
            </c:ext>
          </c:extLst>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Gráficos!$G$123</c:f>
              <c:numCache>
                <c:formatCode>0.0</c:formatCode>
                <c:ptCount val="1"/>
                <c:pt idx="0">
                  <c:v>0</c:v>
                </c:pt>
              </c:numCache>
            </c:numRef>
          </c:val>
          <c:extLst>
            <c:ext xmlns:c16="http://schemas.microsoft.com/office/drawing/2014/chart" uri="{C3380CC4-5D6E-409C-BE32-E72D297353CC}">
              <c16:uniqueId val="{00000002-980C-0D4C-BA89-3C6D943050AC}"/>
            </c:ext>
          </c:extLst>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Gráficos!$G$124</c:f>
              <c:numCache>
                <c:formatCode>0.0</c:formatCode>
                <c:ptCount val="1"/>
                <c:pt idx="0">
                  <c:v>0</c:v>
                </c:pt>
              </c:numCache>
            </c:numRef>
          </c:val>
          <c:extLst>
            <c:ext xmlns:c16="http://schemas.microsoft.com/office/drawing/2014/chart" uri="{C3380CC4-5D6E-409C-BE32-E72D297353CC}">
              <c16:uniqueId val="{00000003-980C-0D4C-BA89-3C6D943050AC}"/>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Gráficos!$G$125</c:f>
              <c:numCache>
                <c:formatCode>0.0</c:formatCode>
                <c:ptCount val="1"/>
                <c:pt idx="0">
                  <c:v>0</c:v>
                </c:pt>
              </c:numCache>
            </c:numRef>
          </c:val>
          <c:extLst>
            <c:ext xmlns:c16="http://schemas.microsoft.com/office/drawing/2014/chart" uri="{C3380CC4-5D6E-409C-BE32-E72D297353CC}">
              <c16:uniqueId val="{00000004-980C-0D4C-BA89-3C6D943050AC}"/>
            </c:ext>
          </c:extLst>
        </c:ser>
        <c:dLbls>
          <c:showLegendKey val="0"/>
          <c:showVal val="0"/>
          <c:showCatName val="0"/>
          <c:showSerName val="0"/>
          <c:showPercent val="0"/>
          <c:showBubbleSize val="0"/>
        </c:dLbls>
        <c:gapWidth val="150"/>
        <c:overlap val="100"/>
        <c:axId val="143328000"/>
        <c:axId val="143329536"/>
      </c:barChart>
      <c:catAx>
        <c:axId val="143328000"/>
        <c:scaling>
          <c:orientation val="minMax"/>
        </c:scaling>
        <c:delete val="1"/>
        <c:axPos val="b"/>
        <c:majorTickMark val="none"/>
        <c:minorTickMark val="none"/>
        <c:tickLblPos val="none"/>
        <c:crossAx val="143329536"/>
        <c:crosses val="autoZero"/>
        <c:auto val="1"/>
        <c:lblAlgn val="ctr"/>
        <c:lblOffset val="100"/>
        <c:noMultiLvlLbl val="0"/>
      </c:catAx>
      <c:valAx>
        <c:axId val="14332953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3328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Paro mayores 45</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Gráficos!$H$121</c:f>
              <c:numCache>
                <c:formatCode>0.0</c:formatCode>
                <c:ptCount val="1"/>
                <c:pt idx="0">
                  <c:v>0</c:v>
                </c:pt>
              </c:numCache>
            </c:numRef>
          </c:val>
          <c:extLst>
            <c:ext xmlns:c16="http://schemas.microsoft.com/office/drawing/2014/chart" uri="{C3380CC4-5D6E-409C-BE32-E72D297353CC}">
              <c16:uniqueId val="{00000000-4FDC-DF49-978A-27C0EA1A001B}"/>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Gráficos!$H$122</c:f>
              <c:numCache>
                <c:formatCode>0.0</c:formatCode>
                <c:ptCount val="1"/>
                <c:pt idx="0">
                  <c:v>0</c:v>
                </c:pt>
              </c:numCache>
            </c:numRef>
          </c:val>
          <c:extLst>
            <c:ext xmlns:c16="http://schemas.microsoft.com/office/drawing/2014/chart" uri="{C3380CC4-5D6E-409C-BE32-E72D297353CC}">
              <c16:uniqueId val="{00000001-4FDC-DF49-978A-27C0EA1A001B}"/>
            </c:ext>
          </c:extLst>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Gráficos!$H$123</c:f>
              <c:numCache>
                <c:formatCode>0.0</c:formatCode>
                <c:ptCount val="1"/>
                <c:pt idx="0">
                  <c:v>0</c:v>
                </c:pt>
              </c:numCache>
            </c:numRef>
          </c:val>
          <c:extLst>
            <c:ext xmlns:c16="http://schemas.microsoft.com/office/drawing/2014/chart" uri="{C3380CC4-5D6E-409C-BE32-E72D297353CC}">
              <c16:uniqueId val="{00000002-4FDC-DF49-978A-27C0EA1A001B}"/>
            </c:ext>
          </c:extLst>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Gráficos!$H$124</c:f>
              <c:numCache>
                <c:formatCode>0.0</c:formatCode>
                <c:ptCount val="1"/>
                <c:pt idx="0">
                  <c:v>0</c:v>
                </c:pt>
              </c:numCache>
            </c:numRef>
          </c:val>
          <c:extLst>
            <c:ext xmlns:c16="http://schemas.microsoft.com/office/drawing/2014/chart" uri="{C3380CC4-5D6E-409C-BE32-E72D297353CC}">
              <c16:uniqueId val="{00000003-4FDC-DF49-978A-27C0EA1A001B}"/>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Gráficos!$H$125</c:f>
              <c:numCache>
                <c:formatCode>0.0</c:formatCode>
                <c:ptCount val="1"/>
                <c:pt idx="0">
                  <c:v>0</c:v>
                </c:pt>
              </c:numCache>
            </c:numRef>
          </c:val>
          <c:extLst>
            <c:ext xmlns:c16="http://schemas.microsoft.com/office/drawing/2014/chart" uri="{C3380CC4-5D6E-409C-BE32-E72D297353CC}">
              <c16:uniqueId val="{00000004-4FDC-DF49-978A-27C0EA1A001B}"/>
            </c:ext>
          </c:extLst>
        </c:ser>
        <c:dLbls>
          <c:showLegendKey val="0"/>
          <c:showVal val="0"/>
          <c:showCatName val="0"/>
          <c:showSerName val="0"/>
          <c:showPercent val="0"/>
          <c:showBubbleSize val="0"/>
        </c:dLbls>
        <c:gapWidth val="150"/>
        <c:overlap val="100"/>
        <c:axId val="143379072"/>
        <c:axId val="143389056"/>
      </c:barChart>
      <c:catAx>
        <c:axId val="143379072"/>
        <c:scaling>
          <c:orientation val="minMax"/>
        </c:scaling>
        <c:delete val="1"/>
        <c:axPos val="b"/>
        <c:majorTickMark val="none"/>
        <c:minorTickMark val="none"/>
        <c:tickLblPos val="none"/>
        <c:crossAx val="143389056"/>
        <c:crosses val="autoZero"/>
        <c:auto val="1"/>
        <c:lblAlgn val="ctr"/>
        <c:lblOffset val="100"/>
        <c:noMultiLvlLbl val="0"/>
      </c:catAx>
      <c:valAx>
        <c:axId val="14338905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3379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Valor Catastral</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Gráficos!$N$121</c:f>
              <c:numCache>
                <c:formatCode>0.0</c:formatCode>
                <c:ptCount val="1"/>
                <c:pt idx="0">
                  <c:v>0</c:v>
                </c:pt>
              </c:numCache>
            </c:numRef>
          </c:val>
          <c:extLst>
            <c:ext xmlns:c16="http://schemas.microsoft.com/office/drawing/2014/chart" uri="{C3380CC4-5D6E-409C-BE32-E72D297353CC}">
              <c16:uniqueId val="{00000000-F8D4-5240-974B-2CF96DCC45CA}"/>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Gráficos!$N$122</c:f>
              <c:numCache>
                <c:formatCode>0.0</c:formatCode>
                <c:ptCount val="1"/>
                <c:pt idx="0">
                  <c:v>0</c:v>
                </c:pt>
              </c:numCache>
            </c:numRef>
          </c:val>
          <c:extLst>
            <c:ext xmlns:c16="http://schemas.microsoft.com/office/drawing/2014/chart" uri="{C3380CC4-5D6E-409C-BE32-E72D297353CC}">
              <c16:uniqueId val="{00000001-F8D4-5240-974B-2CF96DCC45CA}"/>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Gráficos!$N$123</c:f>
              <c:numCache>
                <c:formatCode>0.0</c:formatCode>
                <c:ptCount val="1"/>
                <c:pt idx="0">
                  <c:v>0</c:v>
                </c:pt>
              </c:numCache>
            </c:numRef>
          </c:val>
          <c:extLst>
            <c:ext xmlns:c16="http://schemas.microsoft.com/office/drawing/2014/chart" uri="{C3380CC4-5D6E-409C-BE32-E72D297353CC}">
              <c16:uniqueId val="{00000002-F8D4-5240-974B-2CF96DCC45CA}"/>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Gráficos!$N$124</c:f>
              <c:numCache>
                <c:formatCode>0.0</c:formatCode>
                <c:ptCount val="1"/>
                <c:pt idx="0">
                  <c:v>0</c:v>
                </c:pt>
              </c:numCache>
            </c:numRef>
          </c:val>
          <c:extLst>
            <c:ext xmlns:c16="http://schemas.microsoft.com/office/drawing/2014/chart" uri="{C3380CC4-5D6E-409C-BE32-E72D297353CC}">
              <c16:uniqueId val="{00000003-F8D4-5240-974B-2CF96DCC45CA}"/>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Gráficos!$N$125</c:f>
              <c:numCache>
                <c:formatCode>0.0</c:formatCode>
                <c:ptCount val="1"/>
                <c:pt idx="0">
                  <c:v>0</c:v>
                </c:pt>
              </c:numCache>
            </c:numRef>
          </c:val>
          <c:extLst>
            <c:ext xmlns:c16="http://schemas.microsoft.com/office/drawing/2014/chart" uri="{C3380CC4-5D6E-409C-BE32-E72D297353CC}">
              <c16:uniqueId val="{00000004-F8D4-5240-974B-2CF96DCC45CA}"/>
            </c:ext>
          </c:extLst>
        </c:ser>
        <c:dLbls>
          <c:showLegendKey val="0"/>
          <c:showVal val="0"/>
          <c:showCatName val="0"/>
          <c:showSerName val="0"/>
          <c:showPercent val="0"/>
          <c:showBubbleSize val="0"/>
        </c:dLbls>
        <c:gapWidth val="150"/>
        <c:overlap val="100"/>
        <c:axId val="147104128"/>
        <c:axId val="147105664"/>
      </c:barChart>
      <c:catAx>
        <c:axId val="147104128"/>
        <c:scaling>
          <c:orientation val="minMax"/>
        </c:scaling>
        <c:delete val="1"/>
        <c:axPos val="b"/>
        <c:majorTickMark val="none"/>
        <c:minorTickMark val="none"/>
        <c:tickLblPos val="none"/>
        <c:crossAx val="147105664"/>
        <c:crosses val="autoZero"/>
        <c:auto val="1"/>
        <c:lblAlgn val="ctr"/>
        <c:lblOffset val="100"/>
        <c:noMultiLvlLbl val="0"/>
      </c:catAx>
      <c:valAx>
        <c:axId val="14710566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7104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Esperanza</a:t>
            </a:r>
            <a:r>
              <a:rPr lang="es-ES_tradnl" sz="1100" baseline="0"/>
              <a:t> de Vida</a:t>
            </a:r>
            <a:endParaRPr lang="es-ES_tradnl" sz="1100"/>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Gráficos!$B$121</c:f>
              <c:numCache>
                <c:formatCode>0</c:formatCode>
                <c:ptCount val="1"/>
                <c:pt idx="0">
                  <c:v>0</c:v>
                </c:pt>
              </c:numCache>
            </c:numRef>
          </c:val>
          <c:extLst>
            <c:ext xmlns:c16="http://schemas.microsoft.com/office/drawing/2014/chart" uri="{C3380CC4-5D6E-409C-BE32-E72D297353CC}">
              <c16:uniqueId val="{00000000-BE8B-B342-9C8E-7C290A96F4E1}"/>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Gráficos!$B$122</c:f>
              <c:numCache>
                <c:formatCode>0</c:formatCode>
                <c:ptCount val="1"/>
                <c:pt idx="0">
                  <c:v>0</c:v>
                </c:pt>
              </c:numCache>
            </c:numRef>
          </c:val>
          <c:extLst>
            <c:ext xmlns:c16="http://schemas.microsoft.com/office/drawing/2014/chart" uri="{C3380CC4-5D6E-409C-BE32-E72D297353CC}">
              <c16:uniqueId val="{00000001-BE8B-B342-9C8E-7C290A96F4E1}"/>
            </c:ext>
          </c:extLst>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Gráficos!$B$123</c:f>
              <c:numCache>
                <c:formatCode>0</c:formatCode>
                <c:ptCount val="1"/>
                <c:pt idx="0">
                  <c:v>0</c:v>
                </c:pt>
              </c:numCache>
            </c:numRef>
          </c:val>
          <c:extLst>
            <c:ext xmlns:c16="http://schemas.microsoft.com/office/drawing/2014/chart" uri="{C3380CC4-5D6E-409C-BE32-E72D297353CC}">
              <c16:uniqueId val="{00000002-BE8B-B342-9C8E-7C290A96F4E1}"/>
            </c:ext>
          </c:extLst>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Gráficos!$B$124</c:f>
              <c:numCache>
                <c:formatCode>0</c:formatCode>
                <c:ptCount val="1"/>
                <c:pt idx="0">
                  <c:v>0</c:v>
                </c:pt>
              </c:numCache>
            </c:numRef>
          </c:val>
          <c:extLst>
            <c:ext xmlns:c16="http://schemas.microsoft.com/office/drawing/2014/chart" uri="{C3380CC4-5D6E-409C-BE32-E72D297353CC}">
              <c16:uniqueId val="{00000003-BE8B-B342-9C8E-7C290A96F4E1}"/>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Gráficos!$B$125</c:f>
              <c:numCache>
                <c:formatCode>0</c:formatCode>
                <c:ptCount val="1"/>
                <c:pt idx="0">
                  <c:v>0</c:v>
                </c:pt>
              </c:numCache>
            </c:numRef>
          </c:val>
          <c:extLst>
            <c:ext xmlns:c16="http://schemas.microsoft.com/office/drawing/2014/chart" uri="{C3380CC4-5D6E-409C-BE32-E72D297353CC}">
              <c16:uniqueId val="{00000004-BE8B-B342-9C8E-7C290A96F4E1}"/>
            </c:ext>
          </c:extLst>
        </c:ser>
        <c:dLbls>
          <c:showLegendKey val="0"/>
          <c:showVal val="0"/>
          <c:showCatName val="0"/>
          <c:showSerName val="0"/>
          <c:showPercent val="0"/>
          <c:showBubbleSize val="0"/>
        </c:dLbls>
        <c:gapWidth val="150"/>
        <c:overlap val="100"/>
        <c:axId val="147216640"/>
        <c:axId val="147243008"/>
      </c:barChart>
      <c:catAx>
        <c:axId val="147216640"/>
        <c:scaling>
          <c:orientation val="minMax"/>
        </c:scaling>
        <c:delete val="1"/>
        <c:axPos val="b"/>
        <c:majorTickMark val="none"/>
        <c:minorTickMark val="none"/>
        <c:tickLblPos val="none"/>
        <c:crossAx val="147243008"/>
        <c:crosses val="autoZero"/>
        <c:auto val="1"/>
        <c:lblAlgn val="ctr"/>
        <c:lblOffset val="100"/>
        <c:noMultiLvlLbl val="0"/>
      </c:catAx>
      <c:valAx>
        <c:axId val="14724300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7216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i="0"/>
              <a:t>Tasa</a:t>
            </a:r>
            <a:r>
              <a:rPr lang="es-ES_tradnl" sz="1100" i="0" baseline="0"/>
              <a:t> Inmigrantes</a:t>
            </a:r>
            <a:endParaRPr lang="es-ES_tradnl" sz="1100" i="0"/>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no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Gráficos!$A$121</c:f>
              <c:numCache>
                <c:formatCode>0.0000</c:formatCode>
                <c:ptCount val="1"/>
                <c:pt idx="0">
                  <c:v>0</c:v>
                </c:pt>
              </c:numCache>
            </c:numRef>
          </c:val>
          <c:extLst>
            <c:ext xmlns:c16="http://schemas.microsoft.com/office/drawing/2014/chart" uri="{C3380CC4-5D6E-409C-BE32-E72D297353CC}">
              <c16:uniqueId val="{00000000-C67B-0941-A30F-FA9C6C6B3E61}"/>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Gráficos!$A$122</c:f>
              <c:numCache>
                <c:formatCode>0.0000</c:formatCode>
                <c:ptCount val="1"/>
                <c:pt idx="0">
                  <c:v>0</c:v>
                </c:pt>
              </c:numCache>
            </c:numRef>
          </c:val>
          <c:extLst>
            <c:ext xmlns:c16="http://schemas.microsoft.com/office/drawing/2014/chart" uri="{C3380CC4-5D6E-409C-BE32-E72D297353CC}">
              <c16:uniqueId val="{00000001-C67B-0941-A30F-FA9C6C6B3E61}"/>
            </c:ext>
          </c:extLst>
        </c:ser>
        <c:ser>
          <c:idx val="2"/>
          <c:order val="2"/>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Gráficos!$A$123</c:f>
              <c:numCache>
                <c:formatCode>0.0000</c:formatCode>
                <c:ptCount val="1"/>
                <c:pt idx="0">
                  <c:v>0</c:v>
                </c:pt>
              </c:numCache>
            </c:numRef>
          </c:val>
          <c:extLst>
            <c:ext xmlns:c16="http://schemas.microsoft.com/office/drawing/2014/chart" uri="{C3380CC4-5D6E-409C-BE32-E72D297353CC}">
              <c16:uniqueId val="{00000002-C67B-0941-A30F-FA9C6C6B3E61}"/>
            </c:ext>
          </c:extLst>
        </c:ser>
        <c:ser>
          <c:idx val="3"/>
          <c:order val="3"/>
          <c:spPr>
            <a:solidFill>
              <a:schemeClr val="accent1">
                <a:alpha val="50000"/>
              </a:schemeClr>
            </a:solidFill>
            <a:ln w="15875">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Gráficos!$A$124</c:f>
              <c:numCache>
                <c:formatCode>0.0000</c:formatCode>
                <c:ptCount val="1"/>
                <c:pt idx="0">
                  <c:v>0</c:v>
                </c:pt>
              </c:numCache>
            </c:numRef>
          </c:val>
          <c:extLst>
            <c:ext xmlns:c16="http://schemas.microsoft.com/office/drawing/2014/chart" uri="{C3380CC4-5D6E-409C-BE32-E72D297353CC}">
              <c16:uniqueId val="{00000003-C67B-0941-A30F-FA9C6C6B3E61}"/>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Gráficos!$A$125</c:f>
              <c:numCache>
                <c:formatCode>0.0000</c:formatCode>
                <c:ptCount val="1"/>
                <c:pt idx="0">
                  <c:v>0</c:v>
                </c:pt>
              </c:numCache>
            </c:numRef>
          </c:val>
          <c:extLst>
            <c:ext xmlns:c16="http://schemas.microsoft.com/office/drawing/2014/chart" uri="{C3380CC4-5D6E-409C-BE32-E72D297353CC}">
              <c16:uniqueId val="{00000004-C67B-0941-A30F-FA9C6C6B3E61}"/>
            </c:ext>
          </c:extLst>
        </c:ser>
        <c:dLbls>
          <c:showLegendKey val="0"/>
          <c:showVal val="0"/>
          <c:showCatName val="0"/>
          <c:showSerName val="0"/>
          <c:showPercent val="0"/>
          <c:showBubbleSize val="0"/>
        </c:dLbls>
        <c:gapWidth val="150"/>
        <c:overlap val="100"/>
        <c:axId val="147284352"/>
        <c:axId val="147285888"/>
      </c:barChart>
      <c:catAx>
        <c:axId val="147284352"/>
        <c:scaling>
          <c:orientation val="minMax"/>
        </c:scaling>
        <c:delete val="1"/>
        <c:axPos val="b"/>
        <c:majorTickMark val="none"/>
        <c:minorTickMark val="none"/>
        <c:tickLblPos val="none"/>
        <c:crossAx val="147285888"/>
        <c:crosses val="autoZero"/>
        <c:auto val="1"/>
        <c:lblAlgn val="ctr"/>
        <c:lblOffset val="100"/>
        <c:noMultiLvlLbl val="0"/>
      </c:catAx>
      <c:valAx>
        <c:axId val="147285888"/>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7284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Histograma Vulnerabilidad por Barrio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alpha val="50000"/>
              </a:schemeClr>
            </a:solidFill>
            <a:ln>
              <a:noFill/>
            </a:ln>
            <a:effectLst/>
          </c:spPr>
          <c:invertIfNegative val="0"/>
          <c:dPt>
            <c:idx val="0"/>
            <c:invertIfNegative val="0"/>
            <c:bubble3D val="0"/>
            <c:spPr>
              <a:solidFill>
                <a:srgbClr val="63BE7B">
                  <a:alpha val="50196"/>
                </a:srgbClr>
              </a:solidFill>
              <a:ln>
                <a:noFill/>
              </a:ln>
              <a:effectLst/>
            </c:spPr>
            <c:extLst>
              <c:ext xmlns:c16="http://schemas.microsoft.com/office/drawing/2014/chart" uri="{C3380CC4-5D6E-409C-BE32-E72D297353CC}">
                <c16:uniqueId val="{00000000-9D68-EE4A-AD09-AA051CE1F6BC}"/>
              </c:ext>
            </c:extLst>
          </c:dPt>
          <c:dPt>
            <c:idx val="1"/>
            <c:invertIfNegative val="0"/>
            <c:bubble3D val="0"/>
            <c:spPr>
              <a:solidFill>
                <a:srgbClr val="86C97D">
                  <a:alpha val="50196"/>
                </a:srgbClr>
              </a:solidFill>
              <a:ln>
                <a:noFill/>
              </a:ln>
              <a:effectLst/>
            </c:spPr>
            <c:extLst>
              <c:ext xmlns:c16="http://schemas.microsoft.com/office/drawing/2014/chart" uri="{C3380CC4-5D6E-409C-BE32-E72D297353CC}">
                <c16:uniqueId val="{00000001-9D68-EE4A-AD09-AA051CE1F6BC}"/>
              </c:ext>
            </c:extLst>
          </c:dPt>
          <c:dPt>
            <c:idx val="2"/>
            <c:invertIfNegative val="0"/>
            <c:bubble3D val="0"/>
            <c:spPr>
              <a:solidFill>
                <a:srgbClr val="A9D37F">
                  <a:alpha val="50196"/>
                </a:srgbClr>
              </a:solidFill>
              <a:ln>
                <a:noFill/>
              </a:ln>
              <a:effectLst/>
            </c:spPr>
            <c:extLst>
              <c:ext xmlns:c16="http://schemas.microsoft.com/office/drawing/2014/chart" uri="{C3380CC4-5D6E-409C-BE32-E72D297353CC}">
                <c16:uniqueId val="{00000002-9D68-EE4A-AD09-AA051CE1F6BC}"/>
              </c:ext>
            </c:extLst>
          </c:dPt>
          <c:dPt>
            <c:idx val="3"/>
            <c:invertIfNegative val="0"/>
            <c:bubble3D val="0"/>
            <c:spPr>
              <a:solidFill>
                <a:srgbClr val="CCDE82">
                  <a:alpha val="50196"/>
                </a:srgbClr>
              </a:solidFill>
              <a:ln>
                <a:noFill/>
              </a:ln>
              <a:effectLst/>
            </c:spPr>
            <c:extLst>
              <c:ext xmlns:c16="http://schemas.microsoft.com/office/drawing/2014/chart" uri="{C3380CC4-5D6E-409C-BE32-E72D297353CC}">
                <c16:uniqueId val="{00000003-9D68-EE4A-AD09-AA051CE1F6BC}"/>
              </c:ext>
            </c:extLst>
          </c:dPt>
          <c:dPt>
            <c:idx val="4"/>
            <c:invertIfNegative val="0"/>
            <c:bubble3D val="0"/>
            <c:spPr>
              <a:solidFill>
                <a:srgbClr val="EFE783">
                  <a:alpha val="50196"/>
                </a:srgbClr>
              </a:solidFill>
              <a:ln>
                <a:noFill/>
              </a:ln>
              <a:effectLst/>
            </c:spPr>
            <c:extLst>
              <c:ext xmlns:c16="http://schemas.microsoft.com/office/drawing/2014/chart" uri="{C3380CC4-5D6E-409C-BE32-E72D297353CC}">
                <c16:uniqueId val="{00000004-9D68-EE4A-AD09-AA051CE1F6BC}"/>
              </c:ext>
            </c:extLst>
          </c:dPt>
          <c:dPt>
            <c:idx val="5"/>
            <c:invertIfNegative val="0"/>
            <c:bubble3D val="0"/>
            <c:spPr>
              <a:solidFill>
                <a:srgbClr val="FEDC81">
                  <a:alpha val="50196"/>
                </a:srgbClr>
              </a:solidFill>
              <a:ln>
                <a:noFill/>
              </a:ln>
              <a:effectLst/>
            </c:spPr>
            <c:extLst>
              <c:ext xmlns:c16="http://schemas.microsoft.com/office/drawing/2014/chart" uri="{C3380CC4-5D6E-409C-BE32-E72D297353CC}">
                <c16:uniqueId val="{00000005-9D68-EE4A-AD09-AA051CE1F6BC}"/>
              </c:ext>
            </c:extLst>
          </c:dPt>
          <c:dPt>
            <c:idx val="6"/>
            <c:invertIfNegative val="0"/>
            <c:bubble3D val="0"/>
            <c:spPr>
              <a:solidFill>
                <a:srgbClr val="FDBF7B">
                  <a:alpha val="50196"/>
                </a:srgbClr>
              </a:solidFill>
              <a:ln>
                <a:noFill/>
              </a:ln>
              <a:effectLst/>
            </c:spPr>
            <c:extLst>
              <c:ext xmlns:c16="http://schemas.microsoft.com/office/drawing/2014/chart" uri="{C3380CC4-5D6E-409C-BE32-E72D297353CC}">
                <c16:uniqueId val="{00000006-9D68-EE4A-AD09-AA051CE1F6BC}"/>
              </c:ext>
            </c:extLst>
          </c:dPt>
          <c:dPt>
            <c:idx val="7"/>
            <c:invertIfNegative val="0"/>
            <c:bubble3D val="0"/>
            <c:spPr>
              <a:solidFill>
                <a:srgbClr val="FBA276">
                  <a:alpha val="50196"/>
                </a:srgbClr>
              </a:solidFill>
              <a:ln>
                <a:noFill/>
              </a:ln>
              <a:effectLst/>
            </c:spPr>
            <c:extLst>
              <c:ext xmlns:c16="http://schemas.microsoft.com/office/drawing/2014/chart" uri="{C3380CC4-5D6E-409C-BE32-E72D297353CC}">
                <c16:uniqueId val="{00000007-9D68-EE4A-AD09-AA051CE1F6BC}"/>
              </c:ext>
            </c:extLst>
          </c:dPt>
          <c:dPt>
            <c:idx val="8"/>
            <c:invertIfNegative val="0"/>
            <c:bubble3D val="0"/>
            <c:spPr>
              <a:solidFill>
                <a:srgbClr val="FA856F">
                  <a:alpha val="50196"/>
                </a:srgbClr>
              </a:solidFill>
              <a:ln>
                <a:noFill/>
              </a:ln>
              <a:effectLst/>
            </c:spPr>
            <c:extLst>
              <c:ext xmlns:c16="http://schemas.microsoft.com/office/drawing/2014/chart" uri="{C3380CC4-5D6E-409C-BE32-E72D297353CC}">
                <c16:uniqueId val="{00000008-9D68-EE4A-AD09-AA051CE1F6BC}"/>
              </c:ext>
            </c:extLst>
          </c:dPt>
          <c:dPt>
            <c:idx val="9"/>
            <c:invertIfNegative val="0"/>
            <c:bubble3D val="0"/>
            <c:spPr>
              <a:solidFill>
                <a:srgbClr val="F9696B">
                  <a:alpha val="50000"/>
                </a:srgbClr>
              </a:solidFill>
              <a:ln>
                <a:noFill/>
              </a:ln>
              <a:effectLst/>
            </c:spPr>
            <c:extLst>
              <c:ext xmlns:c16="http://schemas.microsoft.com/office/drawing/2014/chart" uri="{C3380CC4-5D6E-409C-BE32-E72D297353CC}">
                <c16:uniqueId val="{00000009-9D68-EE4A-AD09-AA051CE1F6BC}"/>
              </c:ext>
            </c:extLst>
          </c:dPt>
          <c:cat>
            <c:strRef>
              <c:f>Gráficos!$AG$117:$AG$126</c:f>
              <c:strCache>
                <c:ptCount val="10"/>
                <c:pt idx="0">
                  <c:v>0,0053 - 0,006</c:v>
                </c:pt>
                <c:pt idx="1">
                  <c:v>0,006 - 0,0066</c:v>
                </c:pt>
                <c:pt idx="2">
                  <c:v>0,0066 - 0,0073</c:v>
                </c:pt>
                <c:pt idx="3">
                  <c:v>0,0073 - 0,0079</c:v>
                </c:pt>
                <c:pt idx="4">
                  <c:v>0,0079 - 0,0086</c:v>
                </c:pt>
                <c:pt idx="5">
                  <c:v>0,0086 - 0,0092</c:v>
                </c:pt>
                <c:pt idx="6">
                  <c:v>0,0092 - 0,0099</c:v>
                </c:pt>
                <c:pt idx="7">
                  <c:v>0,0099 - 0,0105</c:v>
                </c:pt>
                <c:pt idx="8">
                  <c:v>0,0105 - 0,0112</c:v>
                </c:pt>
                <c:pt idx="9">
                  <c:v>0,0112 - 0,0118</c:v>
                </c:pt>
              </c:strCache>
            </c:strRef>
          </c:cat>
          <c:val>
            <c:numRef>
              <c:f>Gráficos!$AF$117:$AF$126</c:f>
              <c:numCache>
                <c:formatCode>0</c:formatCode>
                <c:ptCount val="10"/>
                <c:pt idx="0">
                  <c:v>25</c:v>
                </c:pt>
                <c:pt idx="1">
                  <c:v>20</c:v>
                </c:pt>
                <c:pt idx="2">
                  <c:v>19</c:v>
                </c:pt>
                <c:pt idx="3">
                  <c:v>11</c:v>
                </c:pt>
                <c:pt idx="4">
                  <c:v>17</c:v>
                </c:pt>
                <c:pt idx="5">
                  <c:v>9</c:v>
                </c:pt>
                <c:pt idx="6">
                  <c:v>11</c:v>
                </c:pt>
                <c:pt idx="7">
                  <c:v>9</c:v>
                </c:pt>
                <c:pt idx="8">
                  <c:v>4</c:v>
                </c:pt>
                <c:pt idx="9">
                  <c:v>3</c:v>
                </c:pt>
              </c:numCache>
            </c:numRef>
          </c:val>
          <c:extLst>
            <c:ext xmlns:c16="http://schemas.microsoft.com/office/drawing/2014/chart" uri="{C3380CC4-5D6E-409C-BE32-E72D297353CC}">
              <c16:uniqueId val="{0000000A-9D68-EE4A-AD09-AA051CE1F6BC}"/>
            </c:ext>
          </c:extLst>
        </c:ser>
        <c:dLbls>
          <c:showLegendKey val="0"/>
          <c:showVal val="0"/>
          <c:showCatName val="0"/>
          <c:showSerName val="0"/>
          <c:showPercent val="0"/>
          <c:showBubbleSize val="0"/>
        </c:dLbls>
        <c:gapWidth val="30"/>
        <c:axId val="147154048"/>
        <c:axId val="147155584"/>
      </c:barChart>
      <c:catAx>
        <c:axId val="147154048"/>
        <c:scaling>
          <c:orientation val="minMax"/>
        </c:scaling>
        <c:delete val="0"/>
        <c:axPos val="b"/>
        <c:numFmt formatCode="#,##0\ &quot;€&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7155584"/>
        <c:crosses val="autoZero"/>
        <c:auto val="1"/>
        <c:lblAlgn val="ctr"/>
        <c:lblOffset val="100"/>
        <c:noMultiLvlLbl val="0"/>
      </c:catAx>
      <c:valAx>
        <c:axId val="1471555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prstDash val="sysDash"/>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_tradnl"/>
                  <a:t>Número de Barrios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7154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_tradnl" sz="1100"/>
              <a:t>Tasa Demanda Dependientes</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spPr>
            <a:solidFill>
              <a:schemeClr val="accent1"/>
            </a:solidFill>
            <a:ln>
              <a:no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Gráficos!$D$121</c:f>
              <c:numCache>
                <c:formatCode>0.000</c:formatCode>
                <c:ptCount val="1"/>
                <c:pt idx="0">
                  <c:v>0</c:v>
                </c:pt>
              </c:numCache>
            </c:numRef>
          </c:val>
          <c:extLst>
            <c:ext xmlns:c16="http://schemas.microsoft.com/office/drawing/2014/chart" uri="{C3380CC4-5D6E-409C-BE32-E72D297353CC}">
              <c16:uniqueId val="{00000000-5FD3-2A47-864F-92B57B8A2D95}"/>
            </c:ext>
          </c:extLst>
        </c:ser>
        <c:ser>
          <c:idx val="1"/>
          <c:order val="1"/>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Gráficos!$D$122</c:f>
              <c:numCache>
                <c:formatCode>0.000</c:formatCode>
                <c:ptCount val="1"/>
                <c:pt idx="0">
                  <c:v>0</c:v>
                </c:pt>
              </c:numCache>
            </c:numRef>
          </c:val>
          <c:extLst>
            <c:ext xmlns:c16="http://schemas.microsoft.com/office/drawing/2014/chart" uri="{C3380CC4-5D6E-409C-BE32-E72D297353CC}">
              <c16:uniqueId val="{00000001-5FD3-2A47-864F-92B57B8A2D95}"/>
            </c:ext>
          </c:extLst>
        </c:ser>
        <c:ser>
          <c:idx val="2"/>
          <c:order val="2"/>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Gráficos!$D$123</c:f>
              <c:numCache>
                <c:formatCode>0.000</c:formatCode>
                <c:ptCount val="1"/>
                <c:pt idx="0">
                  <c:v>0</c:v>
                </c:pt>
              </c:numCache>
            </c:numRef>
          </c:val>
          <c:extLst>
            <c:ext xmlns:c16="http://schemas.microsoft.com/office/drawing/2014/chart" uri="{C3380CC4-5D6E-409C-BE32-E72D297353CC}">
              <c16:uniqueId val="{00000002-5FD3-2A47-864F-92B57B8A2D95}"/>
            </c:ext>
          </c:extLst>
        </c:ser>
        <c:ser>
          <c:idx val="3"/>
          <c:order val="3"/>
          <c:spPr>
            <a:solidFill>
              <a:schemeClr val="accent1">
                <a:alpha val="50000"/>
              </a:schemeClr>
            </a:solidFill>
            <a:ln>
              <a:solidFill>
                <a:schemeClr val="accent1"/>
              </a:solidFill>
            </a:ln>
            <a:effectLst/>
          </c:spPr>
          <c:invertIfNegative val="0"/>
          <c:errBars>
            <c:errBarType val="both"/>
            <c:errValType val="stdDev"/>
            <c:noEndCap val="0"/>
            <c:val val="1"/>
            <c:spPr>
              <a:noFill/>
              <a:ln w="9525" cap="flat" cmpd="sng" algn="ctr">
                <a:solidFill>
                  <a:schemeClr val="tx1">
                    <a:lumMod val="65000"/>
                    <a:lumOff val="35000"/>
                  </a:schemeClr>
                </a:solidFill>
                <a:round/>
              </a:ln>
              <a:effectLst/>
            </c:spPr>
          </c:errBars>
          <c:val>
            <c:numRef>
              <c:f>Gráficos!$D$124</c:f>
              <c:numCache>
                <c:formatCode>0.000</c:formatCode>
                <c:ptCount val="1"/>
                <c:pt idx="0">
                  <c:v>0</c:v>
                </c:pt>
              </c:numCache>
            </c:numRef>
          </c:val>
          <c:extLst>
            <c:ext xmlns:c16="http://schemas.microsoft.com/office/drawing/2014/chart" uri="{C3380CC4-5D6E-409C-BE32-E72D297353CC}">
              <c16:uniqueId val="{00000003-5FD3-2A47-864F-92B57B8A2D95}"/>
            </c:ext>
          </c:extLst>
        </c:ser>
        <c:ser>
          <c:idx val="4"/>
          <c:order val="4"/>
          <c:spPr>
            <a:noFill/>
            <a:ln>
              <a:noFill/>
            </a:ln>
            <a:effectLst/>
          </c:spPr>
          <c:invertIfNegative val="0"/>
          <c:errBars>
            <c:errBarType val="minus"/>
            <c:errValType val="percentage"/>
            <c:noEndCap val="1"/>
            <c:val val="100"/>
            <c:spPr>
              <a:noFill/>
              <a:ln w="15875" cap="flat" cmpd="sng" algn="ctr">
                <a:solidFill>
                  <a:schemeClr val="accent1"/>
                </a:solidFill>
                <a:round/>
              </a:ln>
              <a:effectLst/>
            </c:spPr>
          </c:errBars>
          <c:val>
            <c:numRef>
              <c:f>Gráficos!$D$125</c:f>
              <c:numCache>
                <c:formatCode>0.000</c:formatCode>
                <c:ptCount val="1"/>
                <c:pt idx="0">
                  <c:v>0</c:v>
                </c:pt>
              </c:numCache>
            </c:numRef>
          </c:val>
          <c:extLst>
            <c:ext xmlns:c16="http://schemas.microsoft.com/office/drawing/2014/chart" uri="{C3380CC4-5D6E-409C-BE32-E72D297353CC}">
              <c16:uniqueId val="{00000004-5FD3-2A47-864F-92B57B8A2D95}"/>
            </c:ext>
          </c:extLst>
        </c:ser>
        <c:dLbls>
          <c:showLegendKey val="0"/>
          <c:showVal val="0"/>
          <c:showCatName val="0"/>
          <c:showSerName val="0"/>
          <c:showPercent val="0"/>
          <c:showBubbleSize val="0"/>
        </c:dLbls>
        <c:gapWidth val="150"/>
        <c:overlap val="100"/>
        <c:axId val="147193216"/>
        <c:axId val="147395712"/>
      </c:barChart>
      <c:catAx>
        <c:axId val="147193216"/>
        <c:scaling>
          <c:orientation val="minMax"/>
        </c:scaling>
        <c:delete val="1"/>
        <c:axPos val="b"/>
        <c:majorTickMark val="none"/>
        <c:minorTickMark val="none"/>
        <c:tickLblPos val="none"/>
        <c:crossAx val="147395712"/>
        <c:crosses val="autoZero"/>
        <c:auto val="1"/>
        <c:lblAlgn val="ctr"/>
        <c:lblOffset val="100"/>
        <c:noMultiLvlLbl val="0"/>
      </c:catAx>
      <c:valAx>
        <c:axId val="147395712"/>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147193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233" l="0.70000000000000062" r="0.70000000000000062" t="0.75000000000000233"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tif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1.tif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127001</xdr:colOff>
      <xdr:row>9</xdr:row>
      <xdr:rowOff>19050</xdr:rowOff>
    </xdr:from>
    <xdr:to>
      <xdr:col>20</xdr:col>
      <xdr:colOff>838199</xdr:colOff>
      <xdr:row>18</xdr:row>
      <xdr:rowOff>90487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alphaModFix amt="29000"/>
        </a:blip>
        <a:srcRect/>
        <a:stretch/>
      </xdr:blipFill>
      <xdr:spPr>
        <a:xfrm>
          <a:off x="127001" y="2676525"/>
          <a:ext cx="15532098" cy="1871662"/>
        </a:xfrm>
        <a:prstGeom prst="rect">
          <a:avLst/>
        </a:prstGeom>
      </xdr:spPr>
    </xdr:pic>
    <xdr:clientData/>
  </xdr:twoCellAnchor>
  <xdr:twoCellAnchor editAs="oneCell">
    <xdr:from>
      <xdr:col>9</xdr:col>
      <xdr:colOff>19051</xdr:colOff>
      <xdr:row>0</xdr:row>
      <xdr:rowOff>0</xdr:rowOff>
    </xdr:from>
    <xdr:to>
      <xdr:col>10</xdr:col>
      <xdr:colOff>309943</xdr:colOff>
      <xdr:row>2</xdr:row>
      <xdr:rowOff>144536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32122" y="0"/>
          <a:ext cx="1012071" cy="648000"/>
        </a:xfrm>
        <a:prstGeom prst="rect">
          <a:avLst/>
        </a:prstGeom>
      </xdr:spPr>
    </xdr:pic>
    <xdr:clientData/>
  </xdr:twoCellAnchor>
  <xdr:twoCellAnchor editAs="oneCell">
    <xdr:from>
      <xdr:col>0</xdr:col>
      <xdr:colOff>0</xdr:colOff>
      <xdr:row>0</xdr:row>
      <xdr:rowOff>76200</xdr:rowOff>
    </xdr:from>
    <xdr:to>
      <xdr:col>5</xdr:col>
      <xdr:colOff>303643</xdr:colOff>
      <xdr:row>2</xdr:row>
      <xdr:rowOff>153116</xdr:rowOff>
    </xdr:to>
    <xdr:pic>
      <xdr:nvPicPr>
        <xdr:cNvPr id="4" name="Picture 7" descr="acronimo_nombre1l.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6200"/>
          <a:ext cx="4032000" cy="580380"/>
        </a:xfrm>
        <a:prstGeom prst="rect">
          <a:avLst/>
        </a:prstGeom>
        <a:solidFill>
          <a:schemeClr val="accent1">
            <a:lumMod val="75000"/>
          </a:schemeClr>
        </a:solidFill>
      </xdr:spPr>
    </xdr:pic>
    <xdr:clientData/>
  </xdr:twoCellAnchor>
  <xdr:twoCellAnchor>
    <xdr:from>
      <xdr:col>0</xdr:col>
      <xdr:colOff>0</xdr:colOff>
      <xdr:row>5</xdr:row>
      <xdr:rowOff>0</xdr:rowOff>
    </xdr:from>
    <xdr:to>
      <xdr:col>0</xdr:col>
      <xdr:colOff>773998</xdr:colOff>
      <xdr:row>5</xdr:row>
      <xdr:rowOff>828000</xdr:rowOff>
    </xdr:to>
    <xdr:pic>
      <xdr:nvPicPr>
        <xdr:cNvPr id="6" name="Imagen 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61357"/>
          <a:ext cx="773998"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0</xdr:colOff>
      <xdr:row>5</xdr:row>
      <xdr:rowOff>0</xdr:rowOff>
    </xdr:from>
    <xdr:to>
      <xdr:col>22</xdr:col>
      <xdr:colOff>46894</xdr:colOff>
      <xdr:row>5</xdr:row>
      <xdr:rowOff>540000</xdr:rowOff>
    </xdr:to>
    <xdr:pic>
      <xdr:nvPicPr>
        <xdr:cNvPr id="12" name="Imagen 5">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790964" y="1061357"/>
          <a:ext cx="1951894"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813518</xdr:colOff>
      <xdr:row>3</xdr:row>
      <xdr:rowOff>82792</xdr:rowOff>
    </xdr:from>
    <xdr:to>
      <xdr:col>21</xdr:col>
      <xdr:colOff>915092</xdr:colOff>
      <xdr:row>14</xdr:row>
      <xdr:rowOff>182495</xdr:rowOff>
    </xdr:to>
    <xdr:grpSp>
      <xdr:nvGrpSpPr>
        <xdr:cNvPr id="4" name="Agrupar 3">
          <a:extLst>
            <a:ext uri="{FF2B5EF4-FFF2-40B4-BE49-F238E27FC236}">
              <a16:creationId xmlns:a16="http://schemas.microsoft.com/office/drawing/2014/main" id="{00000000-0008-0000-0100-000004000000}"/>
            </a:ext>
          </a:extLst>
        </xdr:cNvPr>
        <xdr:cNvGrpSpPr/>
      </xdr:nvGrpSpPr>
      <xdr:grpSpPr>
        <a:xfrm>
          <a:off x="813518" y="901942"/>
          <a:ext cx="16313124" cy="2404753"/>
          <a:chOff x="418406" y="647237"/>
          <a:chExt cx="16315241" cy="2272813"/>
        </a:xfrm>
      </xdr:grpSpPr>
      <xdr:sp macro="" textlink="">
        <xdr:nvSpPr>
          <xdr:cNvPr id="5" name="Forma libre 4">
            <a:extLst>
              <a:ext uri="{FF2B5EF4-FFF2-40B4-BE49-F238E27FC236}">
                <a16:creationId xmlns:a16="http://schemas.microsoft.com/office/drawing/2014/main" id="{00000000-0008-0000-0100-000005000000}"/>
              </a:ext>
            </a:extLst>
          </xdr:cNvPr>
          <xdr:cNvSpPr/>
        </xdr:nvSpPr>
        <xdr:spPr>
          <a:xfrm>
            <a:off x="14045861" y="2020395"/>
            <a:ext cx="2070478" cy="307776"/>
          </a:xfrm>
          <a:custGeom>
            <a:avLst/>
            <a:gdLst/>
            <a:ahLst/>
            <a:cxnLst/>
            <a:rect l="0" t="0" r="0" b="0"/>
            <a:pathLst>
              <a:path>
                <a:moveTo>
                  <a:pt x="0" y="0"/>
                </a:moveTo>
                <a:lnTo>
                  <a:pt x="0" y="183482"/>
                </a:lnTo>
                <a:lnTo>
                  <a:pt x="2070478" y="183482"/>
                </a:lnTo>
                <a:lnTo>
                  <a:pt x="2070478"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7" name="Forma libre 6">
            <a:extLst>
              <a:ext uri="{FF2B5EF4-FFF2-40B4-BE49-F238E27FC236}">
                <a16:creationId xmlns:a16="http://schemas.microsoft.com/office/drawing/2014/main" id="{00000000-0008-0000-0100-000007000000}"/>
              </a:ext>
            </a:extLst>
          </xdr:cNvPr>
          <xdr:cNvSpPr/>
        </xdr:nvSpPr>
        <xdr:spPr>
          <a:xfrm>
            <a:off x="14045861" y="2020395"/>
            <a:ext cx="690159" cy="307776"/>
          </a:xfrm>
          <a:custGeom>
            <a:avLst/>
            <a:gdLst/>
            <a:ahLst/>
            <a:cxnLst/>
            <a:rect l="0" t="0" r="0" b="0"/>
            <a:pathLst>
              <a:path>
                <a:moveTo>
                  <a:pt x="0" y="0"/>
                </a:moveTo>
                <a:lnTo>
                  <a:pt x="0" y="183482"/>
                </a:lnTo>
                <a:lnTo>
                  <a:pt x="690159" y="183482"/>
                </a:lnTo>
                <a:lnTo>
                  <a:pt x="69015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8" name="Forma libre 7">
            <a:extLst>
              <a:ext uri="{FF2B5EF4-FFF2-40B4-BE49-F238E27FC236}">
                <a16:creationId xmlns:a16="http://schemas.microsoft.com/office/drawing/2014/main" id="{00000000-0008-0000-0100-000008000000}"/>
              </a:ext>
            </a:extLst>
          </xdr:cNvPr>
          <xdr:cNvSpPr/>
        </xdr:nvSpPr>
        <xdr:spPr>
          <a:xfrm>
            <a:off x="13355701" y="2020395"/>
            <a:ext cx="690159" cy="307776"/>
          </a:xfrm>
          <a:custGeom>
            <a:avLst/>
            <a:gdLst/>
            <a:ahLst/>
            <a:cxnLst/>
            <a:rect l="0" t="0" r="0" b="0"/>
            <a:pathLst>
              <a:path>
                <a:moveTo>
                  <a:pt x="690159" y="0"/>
                </a:moveTo>
                <a:lnTo>
                  <a:pt x="69015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9" name="Forma libre 8">
            <a:extLst>
              <a:ext uri="{FF2B5EF4-FFF2-40B4-BE49-F238E27FC236}">
                <a16:creationId xmlns:a16="http://schemas.microsoft.com/office/drawing/2014/main" id="{00000000-0008-0000-0100-000009000000}"/>
              </a:ext>
            </a:extLst>
          </xdr:cNvPr>
          <xdr:cNvSpPr/>
        </xdr:nvSpPr>
        <xdr:spPr>
          <a:xfrm>
            <a:off x="11975382" y="2020395"/>
            <a:ext cx="2070478" cy="307776"/>
          </a:xfrm>
          <a:custGeom>
            <a:avLst/>
            <a:gdLst/>
            <a:ahLst/>
            <a:cxnLst/>
            <a:rect l="0" t="0" r="0" b="0"/>
            <a:pathLst>
              <a:path>
                <a:moveTo>
                  <a:pt x="2070478" y="0"/>
                </a:moveTo>
                <a:lnTo>
                  <a:pt x="2070478"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0" name="Forma libre 9">
            <a:extLst>
              <a:ext uri="{FF2B5EF4-FFF2-40B4-BE49-F238E27FC236}">
                <a16:creationId xmlns:a16="http://schemas.microsoft.com/office/drawing/2014/main" id="{00000000-0008-0000-0100-00000A000000}"/>
              </a:ext>
            </a:extLst>
          </xdr:cNvPr>
          <xdr:cNvSpPr/>
        </xdr:nvSpPr>
        <xdr:spPr>
          <a:xfrm>
            <a:off x="8179504" y="1179928"/>
            <a:ext cx="5866356" cy="307776"/>
          </a:xfrm>
          <a:custGeom>
            <a:avLst/>
            <a:gdLst/>
            <a:ahLst/>
            <a:cxnLst/>
            <a:rect l="0" t="0" r="0" b="0"/>
            <a:pathLst>
              <a:path>
                <a:moveTo>
                  <a:pt x="0" y="0"/>
                </a:moveTo>
                <a:lnTo>
                  <a:pt x="0" y="183482"/>
                </a:lnTo>
                <a:lnTo>
                  <a:pt x="5866356" y="183482"/>
                </a:lnTo>
                <a:lnTo>
                  <a:pt x="5866356"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1" name="Forma libre 10">
            <a:extLst>
              <a:ext uri="{FF2B5EF4-FFF2-40B4-BE49-F238E27FC236}">
                <a16:creationId xmlns:a16="http://schemas.microsoft.com/office/drawing/2014/main" id="{00000000-0008-0000-0100-00000B000000}"/>
              </a:ext>
            </a:extLst>
          </xdr:cNvPr>
          <xdr:cNvSpPr/>
        </xdr:nvSpPr>
        <xdr:spPr>
          <a:xfrm>
            <a:off x="10549343"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2" name="Forma libre 11">
            <a:extLst>
              <a:ext uri="{FF2B5EF4-FFF2-40B4-BE49-F238E27FC236}">
                <a16:creationId xmlns:a16="http://schemas.microsoft.com/office/drawing/2014/main" id="{00000000-0008-0000-0100-00000C000000}"/>
              </a:ext>
            </a:extLst>
          </xdr:cNvPr>
          <xdr:cNvSpPr/>
        </xdr:nvSpPr>
        <xdr:spPr>
          <a:xfrm>
            <a:off x="8179504" y="1179928"/>
            <a:ext cx="2415558" cy="307776"/>
          </a:xfrm>
          <a:custGeom>
            <a:avLst/>
            <a:gdLst/>
            <a:ahLst/>
            <a:cxnLst/>
            <a:rect l="0" t="0" r="0" b="0"/>
            <a:pathLst>
              <a:path>
                <a:moveTo>
                  <a:pt x="0" y="0"/>
                </a:moveTo>
                <a:lnTo>
                  <a:pt x="0" y="183482"/>
                </a:lnTo>
                <a:lnTo>
                  <a:pt x="2415558" y="183482"/>
                </a:lnTo>
                <a:lnTo>
                  <a:pt x="2415558"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3" name="Forma libre 12">
            <a:extLst>
              <a:ext uri="{FF2B5EF4-FFF2-40B4-BE49-F238E27FC236}">
                <a16:creationId xmlns:a16="http://schemas.microsoft.com/office/drawing/2014/main" id="{00000000-0008-0000-0100-00000D000000}"/>
              </a:ext>
            </a:extLst>
          </xdr:cNvPr>
          <xdr:cNvSpPr/>
        </xdr:nvSpPr>
        <xdr:spPr>
          <a:xfrm>
            <a:off x="7834425" y="2020395"/>
            <a:ext cx="1380319" cy="307776"/>
          </a:xfrm>
          <a:custGeom>
            <a:avLst/>
            <a:gdLst/>
            <a:ahLst/>
            <a:cxnLst/>
            <a:rect l="0" t="0" r="0" b="0"/>
            <a:pathLst>
              <a:path>
                <a:moveTo>
                  <a:pt x="0" y="0"/>
                </a:moveTo>
                <a:lnTo>
                  <a:pt x="0" y="183482"/>
                </a:lnTo>
                <a:lnTo>
                  <a:pt x="1380319" y="183482"/>
                </a:lnTo>
                <a:lnTo>
                  <a:pt x="138031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4" name="Forma libre 13">
            <a:extLst>
              <a:ext uri="{FF2B5EF4-FFF2-40B4-BE49-F238E27FC236}">
                <a16:creationId xmlns:a16="http://schemas.microsoft.com/office/drawing/2014/main" id="{00000000-0008-0000-0100-00000E000000}"/>
              </a:ext>
            </a:extLst>
          </xdr:cNvPr>
          <xdr:cNvSpPr/>
        </xdr:nvSpPr>
        <xdr:spPr>
          <a:xfrm>
            <a:off x="7788705"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5" name="Forma libre 14">
            <a:extLst>
              <a:ext uri="{FF2B5EF4-FFF2-40B4-BE49-F238E27FC236}">
                <a16:creationId xmlns:a16="http://schemas.microsoft.com/office/drawing/2014/main" id="{00000000-0008-0000-0100-00000F000000}"/>
              </a:ext>
            </a:extLst>
          </xdr:cNvPr>
          <xdr:cNvSpPr/>
        </xdr:nvSpPr>
        <xdr:spPr>
          <a:xfrm>
            <a:off x="6454106" y="2020395"/>
            <a:ext cx="1380319" cy="307776"/>
          </a:xfrm>
          <a:custGeom>
            <a:avLst/>
            <a:gdLst/>
            <a:ahLst/>
            <a:cxnLst/>
            <a:rect l="0" t="0" r="0" b="0"/>
            <a:pathLst>
              <a:path>
                <a:moveTo>
                  <a:pt x="1380319" y="0"/>
                </a:moveTo>
                <a:lnTo>
                  <a:pt x="138031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6" name="Forma libre 15">
            <a:extLst>
              <a:ext uri="{FF2B5EF4-FFF2-40B4-BE49-F238E27FC236}">
                <a16:creationId xmlns:a16="http://schemas.microsoft.com/office/drawing/2014/main" id="{00000000-0008-0000-0100-000010000000}"/>
              </a:ext>
            </a:extLst>
          </xdr:cNvPr>
          <xdr:cNvSpPr/>
        </xdr:nvSpPr>
        <xdr:spPr>
          <a:xfrm>
            <a:off x="7834425" y="1179928"/>
            <a:ext cx="345079" cy="307776"/>
          </a:xfrm>
          <a:custGeom>
            <a:avLst/>
            <a:gdLst/>
            <a:ahLst/>
            <a:cxnLst/>
            <a:rect l="0" t="0" r="0" b="0"/>
            <a:pathLst>
              <a:path>
                <a:moveTo>
                  <a:pt x="345079" y="0"/>
                </a:moveTo>
                <a:lnTo>
                  <a:pt x="345079"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7" name="Forma libre 16">
            <a:extLst>
              <a:ext uri="{FF2B5EF4-FFF2-40B4-BE49-F238E27FC236}">
                <a16:creationId xmlns:a16="http://schemas.microsoft.com/office/drawing/2014/main" id="{00000000-0008-0000-0100-000011000000}"/>
              </a:ext>
            </a:extLst>
          </xdr:cNvPr>
          <xdr:cNvSpPr/>
        </xdr:nvSpPr>
        <xdr:spPr>
          <a:xfrm>
            <a:off x="5028066"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8" name="Forma libre 17">
            <a:extLst>
              <a:ext uri="{FF2B5EF4-FFF2-40B4-BE49-F238E27FC236}">
                <a16:creationId xmlns:a16="http://schemas.microsoft.com/office/drawing/2014/main" id="{00000000-0008-0000-0100-000012000000}"/>
              </a:ext>
            </a:extLst>
          </xdr:cNvPr>
          <xdr:cNvSpPr/>
        </xdr:nvSpPr>
        <xdr:spPr>
          <a:xfrm>
            <a:off x="5073786" y="1179928"/>
            <a:ext cx="3105717" cy="307776"/>
          </a:xfrm>
          <a:custGeom>
            <a:avLst/>
            <a:gdLst/>
            <a:ahLst/>
            <a:cxnLst/>
            <a:rect l="0" t="0" r="0" b="0"/>
            <a:pathLst>
              <a:path>
                <a:moveTo>
                  <a:pt x="3105717" y="0"/>
                </a:moveTo>
                <a:lnTo>
                  <a:pt x="3105717"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9" name="Forma libre 18">
            <a:extLst>
              <a:ext uri="{FF2B5EF4-FFF2-40B4-BE49-F238E27FC236}">
                <a16:creationId xmlns:a16="http://schemas.microsoft.com/office/drawing/2014/main" id="{00000000-0008-0000-0100-000013000000}"/>
              </a:ext>
            </a:extLst>
          </xdr:cNvPr>
          <xdr:cNvSpPr/>
        </xdr:nvSpPr>
        <xdr:spPr>
          <a:xfrm>
            <a:off x="2313148" y="2020395"/>
            <a:ext cx="1380319" cy="307776"/>
          </a:xfrm>
          <a:custGeom>
            <a:avLst/>
            <a:gdLst/>
            <a:ahLst/>
            <a:cxnLst/>
            <a:rect l="0" t="0" r="0" b="0"/>
            <a:pathLst>
              <a:path>
                <a:moveTo>
                  <a:pt x="0" y="0"/>
                </a:moveTo>
                <a:lnTo>
                  <a:pt x="0" y="183482"/>
                </a:lnTo>
                <a:lnTo>
                  <a:pt x="1380319" y="183482"/>
                </a:lnTo>
                <a:lnTo>
                  <a:pt x="138031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0" name="Forma libre 19">
            <a:extLst>
              <a:ext uri="{FF2B5EF4-FFF2-40B4-BE49-F238E27FC236}">
                <a16:creationId xmlns:a16="http://schemas.microsoft.com/office/drawing/2014/main" id="{00000000-0008-0000-0100-000014000000}"/>
              </a:ext>
            </a:extLst>
          </xdr:cNvPr>
          <xdr:cNvSpPr/>
        </xdr:nvSpPr>
        <xdr:spPr>
          <a:xfrm>
            <a:off x="2267428"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1" name="Forma libre 20">
            <a:extLst>
              <a:ext uri="{FF2B5EF4-FFF2-40B4-BE49-F238E27FC236}">
                <a16:creationId xmlns:a16="http://schemas.microsoft.com/office/drawing/2014/main" id="{00000000-0008-0000-0100-000015000000}"/>
              </a:ext>
            </a:extLst>
          </xdr:cNvPr>
          <xdr:cNvSpPr/>
        </xdr:nvSpPr>
        <xdr:spPr>
          <a:xfrm>
            <a:off x="932829" y="2020395"/>
            <a:ext cx="1380319" cy="307776"/>
          </a:xfrm>
          <a:custGeom>
            <a:avLst/>
            <a:gdLst/>
            <a:ahLst/>
            <a:cxnLst/>
            <a:rect l="0" t="0" r="0" b="0"/>
            <a:pathLst>
              <a:path>
                <a:moveTo>
                  <a:pt x="1380319" y="0"/>
                </a:moveTo>
                <a:lnTo>
                  <a:pt x="138031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2" name="Forma libre 21">
            <a:extLst>
              <a:ext uri="{FF2B5EF4-FFF2-40B4-BE49-F238E27FC236}">
                <a16:creationId xmlns:a16="http://schemas.microsoft.com/office/drawing/2014/main" id="{00000000-0008-0000-0100-000016000000}"/>
              </a:ext>
            </a:extLst>
          </xdr:cNvPr>
          <xdr:cNvSpPr/>
        </xdr:nvSpPr>
        <xdr:spPr>
          <a:xfrm>
            <a:off x="2313148" y="1179928"/>
            <a:ext cx="5866356" cy="307776"/>
          </a:xfrm>
          <a:custGeom>
            <a:avLst/>
            <a:gdLst/>
            <a:ahLst/>
            <a:cxnLst/>
            <a:rect l="0" t="0" r="0" b="0"/>
            <a:pathLst>
              <a:path>
                <a:moveTo>
                  <a:pt x="5866356" y="0"/>
                </a:moveTo>
                <a:lnTo>
                  <a:pt x="5866356"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3" name="Forma libre 22">
            <a:extLst>
              <a:ext uri="{FF2B5EF4-FFF2-40B4-BE49-F238E27FC236}">
                <a16:creationId xmlns:a16="http://schemas.microsoft.com/office/drawing/2014/main" id="{00000000-0008-0000-0100-000017000000}"/>
              </a:ext>
            </a:extLst>
          </xdr:cNvPr>
          <xdr:cNvSpPr/>
        </xdr:nvSpPr>
        <xdr:spPr>
          <a:xfrm>
            <a:off x="7665082" y="647237"/>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BEA9"/>
          </a:solidFill>
          <a:ln>
            <a:noFill/>
          </a:ln>
          <a:scene3d>
            <a:camera prst="orthographicFront"/>
            <a:lightRig rig="flat" dir="t"/>
          </a:scene3d>
          <a:sp3d prstMaterial="dkEdge">
            <a:bevelT w="8200" h="38100"/>
          </a:sp3d>
        </xdr:spPr>
        <xdr:style>
          <a:lnRef idx="0">
            <a:scrgbClr r="0" g="0" b="0"/>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Vulnerabilidad</a:t>
            </a:r>
          </a:p>
        </xdr:txBody>
      </xdr:sp>
      <xdr:sp macro="" textlink="">
        <xdr:nvSpPr>
          <xdr:cNvPr id="25" name="Forma libre 24">
            <a:extLst>
              <a:ext uri="{FF2B5EF4-FFF2-40B4-BE49-F238E27FC236}">
                <a16:creationId xmlns:a16="http://schemas.microsoft.com/office/drawing/2014/main" id="{00000000-0008-0000-0100-000019000000}"/>
              </a:ext>
            </a:extLst>
          </xdr:cNvPr>
          <xdr:cNvSpPr/>
        </xdr:nvSpPr>
        <xdr:spPr>
          <a:xfrm>
            <a:off x="1798725"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Población</a:t>
            </a:r>
          </a:p>
        </xdr:txBody>
      </xdr:sp>
      <xdr:sp macro="" textlink="$U$23">
        <xdr:nvSpPr>
          <xdr:cNvPr id="26" name="Forma libre 25">
            <a:extLst>
              <a:ext uri="{FF2B5EF4-FFF2-40B4-BE49-F238E27FC236}">
                <a16:creationId xmlns:a16="http://schemas.microsoft.com/office/drawing/2014/main" id="{00000000-0008-0000-0100-00001A000000}"/>
              </a:ext>
            </a:extLst>
          </xdr:cNvPr>
          <xdr:cNvSpPr/>
        </xdr:nvSpPr>
        <xdr:spPr>
          <a:xfrm>
            <a:off x="2004495"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A8DC8B3E-D83F-6D40-B12B-B1B20EAC3A19}"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16,7%</a:t>
            </a:fld>
            <a:endParaRPr lang="es-ES_tradnl" sz="1000" b="1" kern="1200"/>
          </a:p>
        </xdr:txBody>
      </xdr:sp>
      <xdr:sp macro="" textlink="">
        <xdr:nvSpPr>
          <xdr:cNvPr id="27" name="Forma libre 26">
            <a:extLst>
              <a:ext uri="{FF2B5EF4-FFF2-40B4-BE49-F238E27FC236}">
                <a16:creationId xmlns:a16="http://schemas.microsoft.com/office/drawing/2014/main" id="{00000000-0008-0000-0100-00001B000000}"/>
              </a:ext>
            </a:extLst>
          </xdr:cNvPr>
          <xdr:cNvSpPr/>
        </xdr:nvSpPr>
        <xdr:spPr>
          <a:xfrm>
            <a:off x="418406"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Inmigrantes</a:t>
            </a:r>
          </a:p>
        </xdr:txBody>
      </xdr:sp>
      <xdr:sp macro="" textlink="$U$37">
        <xdr:nvSpPr>
          <xdr:cNvPr id="28" name="Forma libre 27">
            <a:extLst>
              <a:ext uri="{FF2B5EF4-FFF2-40B4-BE49-F238E27FC236}">
                <a16:creationId xmlns:a16="http://schemas.microsoft.com/office/drawing/2014/main" id="{00000000-0008-0000-0100-00001C000000}"/>
              </a:ext>
            </a:extLst>
          </xdr:cNvPr>
          <xdr:cNvSpPr/>
        </xdr:nvSpPr>
        <xdr:spPr>
          <a:xfrm>
            <a:off x="624175"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D7D00D9-A99D-6543-8EA5-6C139EA066D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30,0%</a:t>
            </a:fld>
            <a:endParaRPr lang="es-ES_tradnl" sz="1000" b="1" kern="1200"/>
          </a:p>
        </xdr:txBody>
      </xdr:sp>
      <xdr:sp macro="" textlink="">
        <xdr:nvSpPr>
          <xdr:cNvPr id="29" name="Forma libre 28">
            <a:extLst>
              <a:ext uri="{FF2B5EF4-FFF2-40B4-BE49-F238E27FC236}">
                <a16:creationId xmlns:a16="http://schemas.microsoft.com/office/drawing/2014/main" id="{00000000-0008-0000-0100-00001D000000}"/>
              </a:ext>
            </a:extLst>
          </xdr:cNvPr>
          <xdr:cNvSpPr/>
        </xdr:nvSpPr>
        <xdr:spPr>
          <a:xfrm>
            <a:off x="1798725"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Esperanza de Vida</a:t>
            </a:r>
          </a:p>
        </xdr:txBody>
      </xdr:sp>
      <xdr:sp macro="" textlink="$U$38">
        <xdr:nvSpPr>
          <xdr:cNvPr id="30" name="Forma libre 29">
            <a:extLst>
              <a:ext uri="{FF2B5EF4-FFF2-40B4-BE49-F238E27FC236}">
                <a16:creationId xmlns:a16="http://schemas.microsoft.com/office/drawing/2014/main" id="{00000000-0008-0000-0100-00001E000000}"/>
              </a:ext>
            </a:extLst>
          </xdr:cNvPr>
          <xdr:cNvSpPr/>
        </xdr:nvSpPr>
        <xdr:spPr>
          <a:xfrm>
            <a:off x="2004495"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9751533D-56B6-204A-B33B-73A4493A391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10,0%</a:t>
            </a:fld>
            <a:endParaRPr lang="es-ES_tradnl" sz="1000" b="1" kern="1200"/>
          </a:p>
        </xdr:txBody>
      </xdr:sp>
      <xdr:sp macro="" textlink="">
        <xdr:nvSpPr>
          <xdr:cNvPr id="31" name="Forma libre 30">
            <a:extLst>
              <a:ext uri="{FF2B5EF4-FFF2-40B4-BE49-F238E27FC236}">
                <a16:creationId xmlns:a16="http://schemas.microsoft.com/office/drawing/2014/main" id="{00000000-0008-0000-0100-00001F000000}"/>
              </a:ext>
            </a:extLst>
          </xdr:cNvPr>
          <xdr:cNvSpPr/>
        </xdr:nvSpPr>
        <xdr:spPr>
          <a:xfrm>
            <a:off x="3179045"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Sin Estudios o Primarios</a:t>
            </a:r>
          </a:p>
        </xdr:txBody>
      </xdr:sp>
      <xdr:sp macro="" textlink="$U$39">
        <xdr:nvSpPr>
          <xdr:cNvPr id="32" name="Forma libre 31">
            <a:extLst>
              <a:ext uri="{FF2B5EF4-FFF2-40B4-BE49-F238E27FC236}">
                <a16:creationId xmlns:a16="http://schemas.microsoft.com/office/drawing/2014/main" id="{00000000-0008-0000-0100-000020000000}"/>
              </a:ext>
            </a:extLst>
          </xdr:cNvPr>
          <xdr:cNvSpPr/>
        </xdr:nvSpPr>
        <xdr:spPr>
          <a:xfrm>
            <a:off x="3384814"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0333EBE6-E958-3841-9F67-80C5A74CEB9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60,0%</a:t>
            </a:fld>
            <a:endParaRPr lang="es-ES_tradnl" sz="1000" b="1" kern="1200"/>
          </a:p>
        </xdr:txBody>
      </xdr:sp>
      <xdr:sp macro="" textlink="">
        <xdr:nvSpPr>
          <xdr:cNvPr id="33" name="Forma libre 32">
            <a:extLst>
              <a:ext uri="{FF2B5EF4-FFF2-40B4-BE49-F238E27FC236}">
                <a16:creationId xmlns:a16="http://schemas.microsoft.com/office/drawing/2014/main" id="{00000000-0008-0000-0100-000021000000}"/>
              </a:ext>
            </a:extLst>
          </xdr:cNvPr>
          <xdr:cNvSpPr/>
        </xdr:nvSpPr>
        <xdr:spPr>
          <a:xfrm>
            <a:off x="4559364"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Estatus Socio-Económico</a:t>
            </a:r>
          </a:p>
        </xdr:txBody>
      </xdr:sp>
      <xdr:sp macro="" textlink="$U$24">
        <xdr:nvSpPr>
          <xdr:cNvPr id="34" name="Forma libre 33">
            <a:extLst>
              <a:ext uri="{FF2B5EF4-FFF2-40B4-BE49-F238E27FC236}">
                <a16:creationId xmlns:a16="http://schemas.microsoft.com/office/drawing/2014/main" id="{00000000-0008-0000-0100-000022000000}"/>
              </a:ext>
            </a:extLst>
          </xdr:cNvPr>
          <xdr:cNvSpPr/>
        </xdr:nvSpPr>
        <xdr:spPr>
          <a:xfrm>
            <a:off x="4765133"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C9A935AE-4B9F-7B4F-BE9F-A838C71290B7}" type="TxLink">
              <a:rPr lang="is-I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32,3%</a:t>
            </a:fld>
            <a:endParaRPr lang="es-ES_tradnl" sz="1000" b="1" kern="1200"/>
          </a:p>
        </xdr:txBody>
      </xdr:sp>
      <xdr:sp macro="" textlink="">
        <xdr:nvSpPr>
          <xdr:cNvPr id="35" name="Forma libre 34">
            <a:extLst>
              <a:ext uri="{FF2B5EF4-FFF2-40B4-BE49-F238E27FC236}">
                <a16:creationId xmlns:a16="http://schemas.microsoft.com/office/drawing/2014/main" id="{00000000-0008-0000-0100-000023000000}"/>
              </a:ext>
            </a:extLst>
          </xdr:cNvPr>
          <xdr:cNvSpPr/>
        </xdr:nvSpPr>
        <xdr:spPr>
          <a:xfrm>
            <a:off x="4559364"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Renta Media Hogar</a:t>
            </a:r>
          </a:p>
        </xdr:txBody>
      </xdr:sp>
      <xdr:sp macro="" textlink="$AC$57">
        <xdr:nvSpPr>
          <xdr:cNvPr id="36" name="Forma libre 35">
            <a:extLst>
              <a:ext uri="{FF2B5EF4-FFF2-40B4-BE49-F238E27FC236}">
                <a16:creationId xmlns:a16="http://schemas.microsoft.com/office/drawing/2014/main" id="{00000000-0008-0000-0100-000024000000}"/>
              </a:ext>
            </a:extLst>
          </xdr:cNvPr>
          <xdr:cNvSpPr/>
        </xdr:nvSpPr>
        <xdr:spPr>
          <a:xfrm>
            <a:off x="4765133"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9140A180-20EE-0941-9277-C829BBCDD830}" type="TxLink">
              <a:rPr lang="en-US" sz="1200" b="0" i="0" u="none" strike="noStrike" kern="1200">
                <a:solidFill>
                  <a:schemeClr val="tx1"/>
                </a:solidFill>
                <a:latin typeface="Calibri"/>
                <a:ea typeface="Calibri"/>
                <a:cs typeface="Calibri"/>
              </a:rPr>
              <a:pPr lvl="0" algn="ctr" defTabSz="444500">
                <a:lnSpc>
                  <a:spcPct val="90000"/>
                </a:lnSpc>
                <a:spcBef>
                  <a:spcPct val="0"/>
                </a:spcBef>
                <a:spcAft>
                  <a:spcPct val="35000"/>
                </a:spcAft>
              </a:pPr>
              <a:t>100%</a:t>
            </a:fld>
            <a:endParaRPr lang="es-ES_tradnl" sz="1000" b="1" kern="1200">
              <a:solidFill>
                <a:schemeClr val="tx1"/>
              </a:solidFill>
            </a:endParaRPr>
          </a:p>
        </xdr:txBody>
      </xdr:sp>
      <xdr:sp macro="" textlink="">
        <xdr:nvSpPr>
          <xdr:cNvPr id="37" name="Forma libre 36">
            <a:extLst>
              <a:ext uri="{FF2B5EF4-FFF2-40B4-BE49-F238E27FC236}">
                <a16:creationId xmlns:a16="http://schemas.microsoft.com/office/drawing/2014/main" id="{00000000-0008-0000-0100-000025000000}"/>
              </a:ext>
            </a:extLst>
          </xdr:cNvPr>
          <xdr:cNvSpPr/>
        </xdr:nvSpPr>
        <xdr:spPr>
          <a:xfrm>
            <a:off x="7320002"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Actividad Económica</a:t>
            </a:r>
          </a:p>
        </xdr:txBody>
      </xdr:sp>
      <xdr:sp macro="" textlink="$U$25">
        <xdr:nvSpPr>
          <xdr:cNvPr id="38" name="Forma libre 37">
            <a:extLst>
              <a:ext uri="{FF2B5EF4-FFF2-40B4-BE49-F238E27FC236}">
                <a16:creationId xmlns:a16="http://schemas.microsoft.com/office/drawing/2014/main" id="{00000000-0008-0000-0100-000026000000}"/>
              </a:ext>
            </a:extLst>
          </xdr:cNvPr>
          <xdr:cNvSpPr/>
        </xdr:nvSpPr>
        <xdr:spPr>
          <a:xfrm>
            <a:off x="7525771"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396C3D32-AB24-594D-90E5-0A1E20443906}"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34,2%</a:t>
            </a:fld>
            <a:endParaRPr lang="es-ES_tradnl" sz="1000" b="1" kern="1200"/>
          </a:p>
        </xdr:txBody>
      </xdr:sp>
      <xdr:sp macro="" textlink="">
        <xdr:nvSpPr>
          <xdr:cNvPr id="39" name="Forma libre 38">
            <a:extLst>
              <a:ext uri="{FF2B5EF4-FFF2-40B4-BE49-F238E27FC236}">
                <a16:creationId xmlns:a16="http://schemas.microsoft.com/office/drawing/2014/main" id="{00000000-0008-0000-0100-000027000000}"/>
              </a:ext>
            </a:extLst>
          </xdr:cNvPr>
          <xdr:cNvSpPr/>
        </xdr:nvSpPr>
        <xdr:spPr>
          <a:xfrm>
            <a:off x="5939683"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 Paro</a:t>
            </a:r>
          </a:p>
        </xdr:txBody>
      </xdr:sp>
      <xdr:sp macro="" textlink="$U$47">
        <xdr:nvSpPr>
          <xdr:cNvPr id="40" name="Forma libre 39">
            <a:extLst>
              <a:ext uri="{FF2B5EF4-FFF2-40B4-BE49-F238E27FC236}">
                <a16:creationId xmlns:a16="http://schemas.microsoft.com/office/drawing/2014/main" id="{00000000-0008-0000-0100-000028000000}"/>
              </a:ext>
            </a:extLst>
          </xdr:cNvPr>
          <xdr:cNvSpPr/>
        </xdr:nvSpPr>
        <xdr:spPr>
          <a:xfrm>
            <a:off x="6145452"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B9E17EC-F16A-D848-B2DF-F713BABD4AF4}"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16,9%</a:t>
            </a:fld>
            <a:endParaRPr lang="es-ES_tradnl" sz="1000" b="1" kern="1200"/>
          </a:p>
        </xdr:txBody>
      </xdr:sp>
      <xdr:sp macro="" textlink="">
        <xdr:nvSpPr>
          <xdr:cNvPr id="41" name="Forma libre 40">
            <a:extLst>
              <a:ext uri="{FF2B5EF4-FFF2-40B4-BE49-F238E27FC236}">
                <a16:creationId xmlns:a16="http://schemas.microsoft.com/office/drawing/2014/main" id="{00000000-0008-0000-0100-000029000000}"/>
              </a:ext>
            </a:extLst>
          </xdr:cNvPr>
          <xdr:cNvSpPr/>
        </xdr:nvSpPr>
        <xdr:spPr>
          <a:xfrm>
            <a:off x="7320002"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 Paro Mayores 45 años</a:t>
            </a:r>
          </a:p>
        </xdr:txBody>
      </xdr:sp>
      <xdr:sp macro="" textlink="$U$48">
        <xdr:nvSpPr>
          <xdr:cNvPr id="42" name="Forma libre 41">
            <a:extLst>
              <a:ext uri="{FF2B5EF4-FFF2-40B4-BE49-F238E27FC236}">
                <a16:creationId xmlns:a16="http://schemas.microsoft.com/office/drawing/2014/main" id="{00000000-0008-0000-0100-00002A000000}"/>
              </a:ext>
            </a:extLst>
          </xdr:cNvPr>
          <xdr:cNvSpPr/>
        </xdr:nvSpPr>
        <xdr:spPr>
          <a:xfrm>
            <a:off x="7525771"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4B1C6E7-F562-0546-A4E8-0B9CAD59DD87}"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44,3%</a:t>
            </a:fld>
            <a:endParaRPr lang="es-ES_tradnl" sz="1000" b="1" kern="1200">
              <a:solidFill>
                <a:schemeClr val="tx1"/>
              </a:solidFill>
            </a:endParaRPr>
          </a:p>
        </xdr:txBody>
      </xdr:sp>
      <xdr:sp macro="" textlink="">
        <xdr:nvSpPr>
          <xdr:cNvPr id="43" name="Forma libre 42">
            <a:extLst>
              <a:ext uri="{FF2B5EF4-FFF2-40B4-BE49-F238E27FC236}">
                <a16:creationId xmlns:a16="http://schemas.microsoft.com/office/drawing/2014/main" id="{00000000-0008-0000-0100-00002B000000}"/>
              </a:ext>
            </a:extLst>
          </xdr:cNvPr>
          <xdr:cNvSpPr/>
        </xdr:nvSpPr>
        <xdr:spPr>
          <a:xfrm>
            <a:off x="8700321"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Parados sin Prestación</a:t>
            </a:r>
          </a:p>
        </xdr:txBody>
      </xdr:sp>
      <xdr:sp macro="" textlink="$U$49">
        <xdr:nvSpPr>
          <xdr:cNvPr id="44" name="Forma libre 43">
            <a:extLst>
              <a:ext uri="{FF2B5EF4-FFF2-40B4-BE49-F238E27FC236}">
                <a16:creationId xmlns:a16="http://schemas.microsoft.com/office/drawing/2014/main" id="{00000000-0008-0000-0100-00002C000000}"/>
              </a:ext>
            </a:extLst>
          </xdr:cNvPr>
          <xdr:cNvSpPr/>
        </xdr:nvSpPr>
        <xdr:spPr>
          <a:xfrm>
            <a:off x="8906090"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3A64D239-B616-9042-9B5D-E5505BBC4258}"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38,7%</a:t>
            </a:fld>
            <a:endParaRPr lang="es-ES_tradnl" sz="1000" b="1" kern="1200"/>
          </a:p>
        </xdr:txBody>
      </xdr:sp>
      <xdr:sp macro="" textlink="">
        <xdr:nvSpPr>
          <xdr:cNvPr id="45" name="Forma libre 44">
            <a:extLst>
              <a:ext uri="{FF2B5EF4-FFF2-40B4-BE49-F238E27FC236}">
                <a16:creationId xmlns:a16="http://schemas.microsoft.com/office/drawing/2014/main" id="{00000000-0008-0000-0100-00002D000000}"/>
              </a:ext>
            </a:extLst>
          </xdr:cNvPr>
          <xdr:cNvSpPr/>
        </xdr:nvSpPr>
        <xdr:spPr>
          <a:xfrm>
            <a:off x="10080640"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ln>
            <a:solidFill>
              <a:schemeClr val="accent1">
                <a:shade val="60000"/>
                <a:hueOff val="0"/>
                <a:satOff val="0"/>
                <a:lumOff val="0"/>
              </a:schemeClr>
            </a:solidFill>
          </a:ln>
          <a:scene3d>
            <a:camera prst="orthographicFront"/>
            <a:lightRig rig="flat" dir="t"/>
          </a:scene3d>
          <a:sp3d prstMaterial="dkEdge">
            <a:bevelT w="8200" h="38100"/>
          </a:sp3d>
        </xdr:spPr>
        <xdr:style>
          <a:lnRef idx="0">
            <a:scrgbClr r="0" g="0" b="0"/>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Desarrollo Urbanístico</a:t>
            </a:r>
          </a:p>
        </xdr:txBody>
      </xdr:sp>
      <xdr:sp macro="" textlink="$U$26">
        <xdr:nvSpPr>
          <xdr:cNvPr id="46" name="Forma libre 45">
            <a:extLst>
              <a:ext uri="{FF2B5EF4-FFF2-40B4-BE49-F238E27FC236}">
                <a16:creationId xmlns:a16="http://schemas.microsoft.com/office/drawing/2014/main" id="{00000000-0008-0000-0100-00002E000000}"/>
              </a:ext>
            </a:extLst>
          </xdr:cNvPr>
          <xdr:cNvSpPr/>
        </xdr:nvSpPr>
        <xdr:spPr>
          <a:xfrm>
            <a:off x="10286409"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0BAA62A8-FD66-7247-AFFD-F2D7524EFDFD}"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7,5%</a:t>
            </a:fld>
            <a:endParaRPr lang="es-ES_tradnl" sz="1000" b="1" kern="1200"/>
          </a:p>
        </xdr:txBody>
      </xdr:sp>
      <xdr:sp macro="" textlink="">
        <xdr:nvSpPr>
          <xdr:cNvPr id="47" name="Forma libre 46">
            <a:extLst>
              <a:ext uri="{FF2B5EF4-FFF2-40B4-BE49-F238E27FC236}">
                <a16:creationId xmlns:a16="http://schemas.microsoft.com/office/drawing/2014/main" id="{00000000-0008-0000-0100-00002F000000}"/>
              </a:ext>
            </a:extLst>
          </xdr:cNvPr>
          <xdr:cNvSpPr/>
        </xdr:nvSpPr>
        <xdr:spPr>
          <a:xfrm>
            <a:off x="10080640"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Valor Catastral</a:t>
            </a:r>
          </a:p>
        </xdr:txBody>
      </xdr:sp>
      <xdr:sp macro="" textlink="$AC$57">
        <xdr:nvSpPr>
          <xdr:cNvPr id="48" name="Forma libre 47">
            <a:extLst>
              <a:ext uri="{FF2B5EF4-FFF2-40B4-BE49-F238E27FC236}">
                <a16:creationId xmlns:a16="http://schemas.microsoft.com/office/drawing/2014/main" id="{00000000-0008-0000-0100-000030000000}"/>
              </a:ext>
            </a:extLst>
          </xdr:cNvPr>
          <xdr:cNvSpPr/>
        </xdr:nvSpPr>
        <xdr:spPr>
          <a:xfrm>
            <a:off x="10286409"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2D61291-857E-5D40-88DC-E8CF3D76489A}" type="TxLink">
              <a:rPr lang="en-US" sz="1200" b="0" i="0" u="none" strike="noStrike" kern="1200">
                <a:solidFill>
                  <a:schemeClr val="tx1"/>
                </a:solidFill>
                <a:latin typeface="Calibri"/>
                <a:ea typeface="Calibri"/>
                <a:cs typeface="Calibri"/>
              </a:rPr>
              <a:pPr lvl="0" algn="ctr" defTabSz="444500">
                <a:lnSpc>
                  <a:spcPct val="90000"/>
                </a:lnSpc>
                <a:spcBef>
                  <a:spcPct val="0"/>
                </a:spcBef>
                <a:spcAft>
                  <a:spcPct val="35000"/>
                </a:spcAft>
              </a:pPr>
              <a:t>100%</a:t>
            </a:fld>
            <a:endParaRPr lang="es-ES_tradnl" sz="1000" b="1" kern="1200">
              <a:solidFill>
                <a:schemeClr val="tx1"/>
              </a:solidFill>
            </a:endParaRPr>
          </a:p>
        </xdr:txBody>
      </xdr:sp>
      <xdr:sp macro="" textlink="">
        <xdr:nvSpPr>
          <xdr:cNvPr id="49" name="Forma libre 48">
            <a:extLst>
              <a:ext uri="{FF2B5EF4-FFF2-40B4-BE49-F238E27FC236}">
                <a16:creationId xmlns:a16="http://schemas.microsoft.com/office/drawing/2014/main" id="{00000000-0008-0000-0100-000031000000}"/>
              </a:ext>
            </a:extLst>
          </xdr:cNvPr>
          <xdr:cNvSpPr/>
        </xdr:nvSpPr>
        <xdr:spPr>
          <a:xfrm>
            <a:off x="13531438"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Necesidades Asistenciales</a:t>
            </a:r>
          </a:p>
        </xdr:txBody>
      </xdr:sp>
      <xdr:sp macro="" textlink="$U$27">
        <xdr:nvSpPr>
          <xdr:cNvPr id="50" name="Forma libre 49">
            <a:extLst>
              <a:ext uri="{FF2B5EF4-FFF2-40B4-BE49-F238E27FC236}">
                <a16:creationId xmlns:a16="http://schemas.microsoft.com/office/drawing/2014/main" id="{00000000-0008-0000-0100-000032000000}"/>
              </a:ext>
            </a:extLst>
          </xdr:cNvPr>
          <xdr:cNvSpPr/>
        </xdr:nvSpPr>
        <xdr:spPr>
          <a:xfrm>
            <a:off x="13737207"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C098542-D81D-3647-AAFE-CEEA4C8D637F}"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9,4%</a:t>
            </a:fld>
            <a:endParaRPr lang="es-ES_tradnl" sz="1000" b="1" kern="1200"/>
          </a:p>
        </xdr:txBody>
      </xdr:sp>
      <xdr:sp macro="" textlink="">
        <xdr:nvSpPr>
          <xdr:cNvPr id="104" name="Forma libre 103">
            <a:extLst>
              <a:ext uri="{FF2B5EF4-FFF2-40B4-BE49-F238E27FC236}">
                <a16:creationId xmlns:a16="http://schemas.microsoft.com/office/drawing/2014/main" id="{00000000-0008-0000-0100-000068000000}"/>
              </a:ext>
            </a:extLst>
          </xdr:cNvPr>
          <xdr:cNvSpPr/>
        </xdr:nvSpPr>
        <xdr:spPr>
          <a:xfrm>
            <a:off x="11460959"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Demanda Dependientes</a:t>
            </a:r>
          </a:p>
        </xdr:txBody>
      </xdr:sp>
      <xdr:sp macro="" textlink="$U$56">
        <xdr:nvSpPr>
          <xdr:cNvPr id="105" name="Forma libre 104">
            <a:extLst>
              <a:ext uri="{FF2B5EF4-FFF2-40B4-BE49-F238E27FC236}">
                <a16:creationId xmlns:a16="http://schemas.microsoft.com/office/drawing/2014/main" id="{00000000-0008-0000-0100-000069000000}"/>
              </a:ext>
            </a:extLst>
          </xdr:cNvPr>
          <xdr:cNvSpPr/>
        </xdr:nvSpPr>
        <xdr:spPr>
          <a:xfrm>
            <a:off x="11666728"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B25616F-8E61-D34E-B459-A6413FCCC8F9}"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16,5%</a:t>
            </a:fld>
            <a:endParaRPr lang="es-ES_tradnl" sz="1000" b="1" kern="1200"/>
          </a:p>
        </xdr:txBody>
      </xdr:sp>
      <xdr:sp macro="" textlink="">
        <xdr:nvSpPr>
          <xdr:cNvPr id="106" name="Forma libre 105">
            <a:extLst>
              <a:ext uri="{FF2B5EF4-FFF2-40B4-BE49-F238E27FC236}">
                <a16:creationId xmlns:a16="http://schemas.microsoft.com/office/drawing/2014/main" id="{00000000-0008-0000-0100-00006A000000}"/>
              </a:ext>
            </a:extLst>
          </xdr:cNvPr>
          <xdr:cNvSpPr/>
        </xdr:nvSpPr>
        <xdr:spPr>
          <a:xfrm>
            <a:off x="12841278"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Familias Perceptoras Renta Mínima</a:t>
            </a:r>
          </a:p>
        </xdr:txBody>
      </xdr:sp>
      <xdr:sp macro="" textlink="$U$57">
        <xdr:nvSpPr>
          <xdr:cNvPr id="107" name="Forma libre 106">
            <a:extLst>
              <a:ext uri="{FF2B5EF4-FFF2-40B4-BE49-F238E27FC236}">
                <a16:creationId xmlns:a16="http://schemas.microsoft.com/office/drawing/2014/main" id="{00000000-0008-0000-0100-00006B000000}"/>
              </a:ext>
            </a:extLst>
          </xdr:cNvPr>
          <xdr:cNvSpPr/>
        </xdr:nvSpPr>
        <xdr:spPr>
          <a:xfrm>
            <a:off x="13047047"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451D3248-08BE-F84E-B286-1AB790805330}"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49,4%</a:t>
            </a:fld>
            <a:endParaRPr lang="es-ES_tradnl" sz="1000" b="1" kern="1200"/>
          </a:p>
        </xdr:txBody>
      </xdr:sp>
      <xdr:sp macro="" textlink="">
        <xdr:nvSpPr>
          <xdr:cNvPr id="108" name="Forma libre 107">
            <a:extLst>
              <a:ext uri="{FF2B5EF4-FFF2-40B4-BE49-F238E27FC236}">
                <a16:creationId xmlns:a16="http://schemas.microsoft.com/office/drawing/2014/main" id="{00000000-0008-0000-0100-00006C000000}"/>
              </a:ext>
            </a:extLst>
          </xdr:cNvPr>
          <xdr:cNvSpPr/>
        </xdr:nvSpPr>
        <xdr:spPr>
          <a:xfrm>
            <a:off x="14221597"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SAD Dependencia</a:t>
            </a:r>
          </a:p>
        </xdr:txBody>
      </xdr:sp>
      <xdr:sp macro="" textlink="$U$58">
        <xdr:nvSpPr>
          <xdr:cNvPr id="109" name="Forma libre 108">
            <a:extLst>
              <a:ext uri="{FF2B5EF4-FFF2-40B4-BE49-F238E27FC236}">
                <a16:creationId xmlns:a16="http://schemas.microsoft.com/office/drawing/2014/main" id="{00000000-0008-0000-0100-00006D000000}"/>
              </a:ext>
            </a:extLst>
          </xdr:cNvPr>
          <xdr:cNvSpPr/>
        </xdr:nvSpPr>
        <xdr:spPr>
          <a:xfrm>
            <a:off x="14427367"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7F0AE54-3A93-E141-80DD-EA6601BCE00C}" type="TxLink">
              <a:rPr lang="is-I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21,7%</a:t>
            </a:fld>
            <a:endParaRPr lang="es-ES_tradnl" sz="1000" b="1" kern="1200"/>
          </a:p>
        </xdr:txBody>
      </xdr:sp>
      <xdr:sp macro="" textlink="">
        <xdr:nvSpPr>
          <xdr:cNvPr id="110" name="Forma libre 109">
            <a:extLst>
              <a:ext uri="{FF2B5EF4-FFF2-40B4-BE49-F238E27FC236}">
                <a16:creationId xmlns:a16="http://schemas.microsoft.com/office/drawing/2014/main" id="{00000000-0008-0000-0100-00006E000000}"/>
              </a:ext>
            </a:extLst>
          </xdr:cNvPr>
          <xdr:cNvSpPr/>
        </xdr:nvSpPr>
        <xdr:spPr>
          <a:xfrm>
            <a:off x="15601917"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Teleasistencia Dependencia</a:t>
            </a:r>
          </a:p>
        </xdr:txBody>
      </xdr:sp>
      <xdr:sp macro="" textlink="$U$59">
        <xdr:nvSpPr>
          <xdr:cNvPr id="111" name="Forma libre 110">
            <a:extLst>
              <a:ext uri="{FF2B5EF4-FFF2-40B4-BE49-F238E27FC236}">
                <a16:creationId xmlns:a16="http://schemas.microsoft.com/office/drawing/2014/main" id="{00000000-0008-0000-0100-00006F000000}"/>
              </a:ext>
            </a:extLst>
          </xdr:cNvPr>
          <xdr:cNvSpPr/>
        </xdr:nvSpPr>
        <xdr:spPr>
          <a:xfrm>
            <a:off x="15807686"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A4E87121-E385-5845-8477-A49DB442971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12,5%</a:t>
            </a:fld>
            <a:endParaRPr lang="es-ES_tradnl" sz="1000" b="1" kern="1200"/>
          </a:p>
        </xdr:txBody>
      </xdr:sp>
    </xdr:grpSp>
    <xdr:clientData/>
  </xdr:twoCellAnchor>
  <xdr:twoCellAnchor>
    <xdr:from>
      <xdr:col>2</xdr:col>
      <xdr:colOff>48952</xdr:colOff>
      <xdr:row>9</xdr:row>
      <xdr:rowOff>148216</xdr:rowOff>
    </xdr:from>
    <xdr:to>
      <xdr:col>2</xdr:col>
      <xdr:colOff>516952</xdr:colOff>
      <xdr:row>10</xdr:row>
      <xdr:rowOff>128223</xdr:rowOff>
    </xdr:to>
    <xdr:sp macro="" textlink="Gráficos!S98">
      <xdr:nvSpPr>
        <xdr:cNvPr id="55" name="Forma libre 54">
          <a:extLst>
            <a:ext uri="{FF2B5EF4-FFF2-40B4-BE49-F238E27FC236}">
              <a16:creationId xmlns:a16="http://schemas.microsoft.com/office/drawing/2014/main" id="{00000000-0008-0000-0100-000037000000}"/>
            </a:ext>
          </a:extLst>
        </xdr:cNvPr>
        <xdr:cNvSpPr/>
      </xdr:nvSpPr>
      <xdr:spPr>
        <a:xfrm>
          <a:off x="3131588" y="22033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419453B7-FC5D-CA4F-9987-249841720C8F}"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6</xdr:col>
      <xdr:colOff>201352</xdr:colOff>
      <xdr:row>9</xdr:row>
      <xdr:rowOff>150525</xdr:rowOff>
    </xdr:from>
    <xdr:to>
      <xdr:col>7</xdr:col>
      <xdr:colOff>22806</xdr:colOff>
      <xdr:row>10</xdr:row>
      <xdr:rowOff>130532</xdr:rowOff>
    </xdr:to>
    <xdr:sp macro="" textlink="Gráficos!S99">
      <xdr:nvSpPr>
        <xdr:cNvPr id="56" name="Forma libre 55">
          <a:extLst>
            <a:ext uri="{FF2B5EF4-FFF2-40B4-BE49-F238E27FC236}">
              <a16:creationId xmlns:a16="http://schemas.microsoft.com/office/drawing/2014/main" id="{00000000-0008-0000-0100-000038000000}"/>
            </a:ext>
          </a:extLst>
        </xdr:cNvPr>
        <xdr:cNvSpPr/>
      </xdr:nvSpPr>
      <xdr:spPr>
        <a:xfrm>
          <a:off x="5870170" y="2205616"/>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779C3F0-848B-7A4A-B48A-CD3537E69CE6}"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10</xdr:col>
      <xdr:colOff>353751</xdr:colOff>
      <xdr:row>9</xdr:row>
      <xdr:rowOff>141288</xdr:rowOff>
    </xdr:from>
    <xdr:to>
      <xdr:col>11</xdr:col>
      <xdr:colOff>175206</xdr:colOff>
      <xdr:row>10</xdr:row>
      <xdr:rowOff>121295</xdr:rowOff>
    </xdr:to>
    <xdr:sp macro="" textlink="Gráficos!S100">
      <xdr:nvSpPr>
        <xdr:cNvPr id="57" name="Forma libre 56">
          <a:extLst>
            <a:ext uri="{FF2B5EF4-FFF2-40B4-BE49-F238E27FC236}">
              <a16:creationId xmlns:a16="http://schemas.microsoft.com/office/drawing/2014/main" id="{00000000-0008-0000-0100-000039000000}"/>
            </a:ext>
          </a:extLst>
        </xdr:cNvPr>
        <xdr:cNvSpPr/>
      </xdr:nvSpPr>
      <xdr:spPr>
        <a:xfrm>
          <a:off x="8608751" y="2196379"/>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5722F0B-705B-7944-8699-DA657CE5332B}"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14</xdr:col>
      <xdr:colOff>552333</xdr:colOff>
      <xdr:row>9</xdr:row>
      <xdr:rowOff>143597</xdr:rowOff>
    </xdr:from>
    <xdr:to>
      <xdr:col>15</xdr:col>
      <xdr:colOff>373788</xdr:colOff>
      <xdr:row>10</xdr:row>
      <xdr:rowOff>123604</xdr:rowOff>
    </xdr:to>
    <xdr:sp macro="" textlink="Gráficos!S101">
      <xdr:nvSpPr>
        <xdr:cNvPr id="58" name="Forma libre 57">
          <a:extLst>
            <a:ext uri="{FF2B5EF4-FFF2-40B4-BE49-F238E27FC236}">
              <a16:creationId xmlns:a16="http://schemas.microsoft.com/office/drawing/2014/main" id="{00000000-0008-0000-0100-00003A000000}"/>
            </a:ext>
          </a:extLst>
        </xdr:cNvPr>
        <xdr:cNvSpPr/>
      </xdr:nvSpPr>
      <xdr:spPr>
        <a:xfrm>
          <a:off x="11393515" y="2198688"/>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A93787E-3DB4-8649-B894-3ACE8B258E6D}"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19</xdr:col>
      <xdr:colOff>739369</xdr:colOff>
      <xdr:row>9</xdr:row>
      <xdr:rowOff>145906</xdr:rowOff>
    </xdr:from>
    <xdr:to>
      <xdr:col>20</xdr:col>
      <xdr:colOff>376096</xdr:colOff>
      <xdr:row>10</xdr:row>
      <xdr:rowOff>125913</xdr:rowOff>
    </xdr:to>
    <xdr:sp macro="" textlink="Gráficos!S102">
      <xdr:nvSpPr>
        <xdr:cNvPr id="59" name="Forma libre 58">
          <a:extLst>
            <a:ext uri="{FF2B5EF4-FFF2-40B4-BE49-F238E27FC236}">
              <a16:creationId xmlns:a16="http://schemas.microsoft.com/office/drawing/2014/main" id="{00000000-0008-0000-0100-00003B000000}"/>
            </a:ext>
          </a:extLst>
        </xdr:cNvPr>
        <xdr:cNvSpPr/>
      </xdr:nvSpPr>
      <xdr:spPr>
        <a:xfrm>
          <a:off x="14813278" y="220099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DD70D67-886D-5B47-A6B9-21F59D2611CC}"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xdr:col>
      <xdr:colOff>880223</xdr:colOff>
      <xdr:row>14</xdr:row>
      <xdr:rowOff>99725</xdr:rowOff>
    </xdr:from>
    <xdr:to>
      <xdr:col>1</xdr:col>
      <xdr:colOff>1348223</xdr:colOff>
      <xdr:row>15</xdr:row>
      <xdr:rowOff>79732</xdr:rowOff>
    </xdr:to>
    <xdr:sp macro="" textlink="Gráficos!S86">
      <xdr:nvSpPr>
        <xdr:cNvPr id="60" name="Forma libre 59">
          <a:extLst>
            <a:ext uri="{FF2B5EF4-FFF2-40B4-BE49-F238E27FC236}">
              <a16:creationId xmlns:a16="http://schemas.microsoft.com/office/drawing/2014/main" id="{00000000-0008-0000-0100-00003C000000}"/>
            </a:ext>
          </a:extLst>
        </xdr:cNvPr>
        <xdr:cNvSpPr/>
      </xdr:nvSpPr>
      <xdr:spPr>
        <a:xfrm>
          <a:off x="1711496"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9824E91-8D16-E844-BC96-3CDB909DDCD1}"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xdr:col>
      <xdr:colOff>2244896</xdr:colOff>
      <xdr:row>14</xdr:row>
      <xdr:rowOff>99725</xdr:rowOff>
    </xdr:from>
    <xdr:to>
      <xdr:col>2</xdr:col>
      <xdr:colOff>461533</xdr:colOff>
      <xdr:row>15</xdr:row>
      <xdr:rowOff>79732</xdr:rowOff>
    </xdr:to>
    <xdr:sp macro="" textlink="Gráficos!S87">
      <xdr:nvSpPr>
        <xdr:cNvPr id="61" name="Forma libre 60">
          <a:extLst>
            <a:ext uri="{FF2B5EF4-FFF2-40B4-BE49-F238E27FC236}">
              <a16:creationId xmlns:a16="http://schemas.microsoft.com/office/drawing/2014/main" id="{00000000-0008-0000-0100-00003D000000}"/>
            </a:ext>
          </a:extLst>
        </xdr:cNvPr>
        <xdr:cNvSpPr/>
      </xdr:nvSpPr>
      <xdr:spPr>
        <a:xfrm>
          <a:off x="3076169"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D97FC3A7-59F4-E244-895E-AFE21EA20134}"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4</xdr:col>
      <xdr:colOff>88206</xdr:colOff>
      <xdr:row>14</xdr:row>
      <xdr:rowOff>99725</xdr:rowOff>
    </xdr:from>
    <xdr:to>
      <xdr:col>4</xdr:col>
      <xdr:colOff>556206</xdr:colOff>
      <xdr:row>15</xdr:row>
      <xdr:rowOff>79732</xdr:rowOff>
    </xdr:to>
    <xdr:sp macro="" textlink="Gráficos!S88">
      <xdr:nvSpPr>
        <xdr:cNvPr id="62" name="Forma libre 61">
          <a:extLst>
            <a:ext uri="{FF2B5EF4-FFF2-40B4-BE49-F238E27FC236}">
              <a16:creationId xmlns:a16="http://schemas.microsoft.com/office/drawing/2014/main" id="{00000000-0008-0000-0100-00003E000000}"/>
            </a:ext>
          </a:extLst>
        </xdr:cNvPr>
        <xdr:cNvSpPr/>
      </xdr:nvSpPr>
      <xdr:spPr>
        <a:xfrm>
          <a:off x="4463933"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17C3E77-B6B8-B343-A5E9-B216D334AD18}"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6</xdr:col>
      <xdr:colOff>159788</xdr:colOff>
      <xdr:row>14</xdr:row>
      <xdr:rowOff>99725</xdr:rowOff>
    </xdr:from>
    <xdr:to>
      <xdr:col>6</xdr:col>
      <xdr:colOff>627788</xdr:colOff>
      <xdr:row>15</xdr:row>
      <xdr:rowOff>79732</xdr:rowOff>
    </xdr:to>
    <xdr:sp macro="" textlink="Gráficos!S89">
      <xdr:nvSpPr>
        <xdr:cNvPr id="63" name="Forma libre 62">
          <a:extLst>
            <a:ext uri="{FF2B5EF4-FFF2-40B4-BE49-F238E27FC236}">
              <a16:creationId xmlns:a16="http://schemas.microsoft.com/office/drawing/2014/main" id="{00000000-0008-0000-0100-00003F000000}"/>
            </a:ext>
          </a:extLst>
        </xdr:cNvPr>
        <xdr:cNvSpPr/>
      </xdr:nvSpPr>
      <xdr:spPr>
        <a:xfrm>
          <a:off x="5828606"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7EA77CE5-133B-AC40-AA57-7726D38784AA}"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8</xdr:col>
      <xdr:colOff>254461</xdr:colOff>
      <xdr:row>14</xdr:row>
      <xdr:rowOff>99725</xdr:rowOff>
    </xdr:from>
    <xdr:to>
      <xdr:col>9</xdr:col>
      <xdr:colOff>75915</xdr:colOff>
      <xdr:row>15</xdr:row>
      <xdr:rowOff>79732</xdr:rowOff>
    </xdr:to>
    <xdr:sp macro="" textlink="Gráficos!S90">
      <xdr:nvSpPr>
        <xdr:cNvPr id="64" name="Forma libre 63">
          <a:extLst>
            <a:ext uri="{FF2B5EF4-FFF2-40B4-BE49-F238E27FC236}">
              <a16:creationId xmlns:a16="http://schemas.microsoft.com/office/drawing/2014/main" id="{00000000-0008-0000-0100-000040000000}"/>
            </a:ext>
          </a:extLst>
        </xdr:cNvPr>
        <xdr:cNvSpPr/>
      </xdr:nvSpPr>
      <xdr:spPr>
        <a:xfrm>
          <a:off x="7216370"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74FCD95-471E-964E-A01A-334D32579EF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10</xdr:col>
      <xdr:colOff>337588</xdr:colOff>
      <xdr:row>14</xdr:row>
      <xdr:rowOff>99725</xdr:rowOff>
    </xdr:from>
    <xdr:to>
      <xdr:col>11</xdr:col>
      <xdr:colOff>159043</xdr:colOff>
      <xdr:row>15</xdr:row>
      <xdr:rowOff>79732</xdr:rowOff>
    </xdr:to>
    <xdr:sp macro="" textlink="Gráficos!S91">
      <xdr:nvSpPr>
        <xdr:cNvPr id="65" name="Forma libre 64">
          <a:extLst>
            <a:ext uri="{FF2B5EF4-FFF2-40B4-BE49-F238E27FC236}">
              <a16:creationId xmlns:a16="http://schemas.microsoft.com/office/drawing/2014/main" id="{00000000-0008-0000-0100-000041000000}"/>
            </a:ext>
          </a:extLst>
        </xdr:cNvPr>
        <xdr:cNvSpPr/>
      </xdr:nvSpPr>
      <xdr:spPr>
        <a:xfrm>
          <a:off x="8592588"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03165B5-9CEC-2446-85F8-3E6F0BE52BE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12</xdr:col>
      <xdr:colOff>432261</xdr:colOff>
      <xdr:row>14</xdr:row>
      <xdr:rowOff>99725</xdr:rowOff>
    </xdr:from>
    <xdr:to>
      <xdr:col>13</xdr:col>
      <xdr:colOff>253716</xdr:colOff>
      <xdr:row>15</xdr:row>
      <xdr:rowOff>79732</xdr:rowOff>
    </xdr:to>
    <xdr:sp macro="" textlink="Gráficos!S92">
      <xdr:nvSpPr>
        <xdr:cNvPr id="66" name="Forma libre 65">
          <a:extLst>
            <a:ext uri="{FF2B5EF4-FFF2-40B4-BE49-F238E27FC236}">
              <a16:creationId xmlns:a16="http://schemas.microsoft.com/office/drawing/2014/main" id="{00000000-0008-0000-0100-000042000000}"/>
            </a:ext>
          </a:extLst>
        </xdr:cNvPr>
        <xdr:cNvSpPr/>
      </xdr:nvSpPr>
      <xdr:spPr>
        <a:xfrm>
          <a:off x="9980352"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BFFE2479-B505-204C-8B38-383D8EAE6C5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14</xdr:col>
      <xdr:colOff>492297</xdr:colOff>
      <xdr:row>14</xdr:row>
      <xdr:rowOff>99725</xdr:rowOff>
    </xdr:from>
    <xdr:to>
      <xdr:col>15</xdr:col>
      <xdr:colOff>313752</xdr:colOff>
      <xdr:row>15</xdr:row>
      <xdr:rowOff>79732</xdr:rowOff>
    </xdr:to>
    <xdr:sp macro="" textlink="Gráficos!S93">
      <xdr:nvSpPr>
        <xdr:cNvPr id="67" name="Forma libre 66">
          <a:extLst>
            <a:ext uri="{FF2B5EF4-FFF2-40B4-BE49-F238E27FC236}">
              <a16:creationId xmlns:a16="http://schemas.microsoft.com/office/drawing/2014/main" id="{00000000-0008-0000-0100-000043000000}"/>
            </a:ext>
          </a:extLst>
        </xdr:cNvPr>
        <xdr:cNvSpPr/>
      </xdr:nvSpPr>
      <xdr:spPr>
        <a:xfrm>
          <a:off x="11333479"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2DFB74B-21C1-7049-8BD1-7D48BB147610}"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16</xdr:col>
      <xdr:colOff>598515</xdr:colOff>
      <xdr:row>14</xdr:row>
      <xdr:rowOff>99725</xdr:rowOff>
    </xdr:from>
    <xdr:to>
      <xdr:col>17</xdr:col>
      <xdr:colOff>419970</xdr:colOff>
      <xdr:row>15</xdr:row>
      <xdr:rowOff>79732</xdr:rowOff>
    </xdr:to>
    <xdr:sp macro="" textlink="Gráficos!S94">
      <xdr:nvSpPr>
        <xdr:cNvPr id="68" name="Forma libre 67">
          <a:extLst>
            <a:ext uri="{FF2B5EF4-FFF2-40B4-BE49-F238E27FC236}">
              <a16:creationId xmlns:a16="http://schemas.microsoft.com/office/drawing/2014/main" id="{00000000-0008-0000-0100-000044000000}"/>
            </a:ext>
          </a:extLst>
        </xdr:cNvPr>
        <xdr:cNvSpPr/>
      </xdr:nvSpPr>
      <xdr:spPr>
        <a:xfrm>
          <a:off x="12732788"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FDF69090-8726-3548-8E30-AFD9D975F771}"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19</xdr:col>
      <xdr:colOff>12006</xdr:colOff>
      <xdr:row>14</xdr:row>
      <xdr:rowOff>99725</xdr:rowOff>
    </xdr:from>
    <xdr:to>
      <xdr:col>19</xdr:col>
      <xdr:colOff>480006</xdr:colOff>
      <xdr:row>15</xdr:row>
      <xdr:rowOff>79732</xdr:rowOff>
    </xdr:to>
    <xdr:sp macro="" textlink="Gráficos!S95">
      <xdr:nvSpPr>
        <xdr:cNvPr id="69" name="Forma libre 68">
          <a:extLst>
            <a:ext uri="{FF2B5EF4-FFF2-40B4-BE49-F238E27FC236}">
              <a16:creationId xmlns:a16="http://schemas.microsoft.com/office/drawing/2014/main" id="{00000000-0008-0000-0100-000045000000}"/>
            </a:ext>
          </a:extLst>
        </xdr:cNvPr>
        <xdr:cNvSpPr/>
      </xdr:nvSpPr>
      <xdr:spPr>
        <a:xfrm>
          <a:off x="14085915"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179011D4-04B5-204F-B4D0-7286E3A3B7BA}"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20</xdr:col>
      <xdr:colOff>580043</xdr:colOff>
      <xdr:row>14</xdr:row>
      <xdr:rowOff>99725</xdr:rowOff>
    </xdr:from>
    <xdr:to>
      <xdr:col>20</xdr:col>
      <xdr:colOff>1048043</xdr:colOff>
      <xdr:row>15</xdr:row>
      <xdr:rowOff>79732</xdr:rowOff>
    </xdr:to>
    <xdr:sp macro="" textlink="Gráficos!S96">
      <xdr:nvSpPr>
        <xdr:cNvPr id="70" name="Forma libre 69">
          <a:extLst>
            <a:ext uri="{FF2B5EF4-FFF2-40B4-BE49-F238E27FC236}">
              <a16:creationId xmlns:a16="http://schemas.microsoft.com/office/drawing/2014/main" id="{00000000-0008-0000-0100-000046000000}"/>
            </a:ext>
          </a:extLst>
        </xdr:cNvPr>
        <xdr:cNvSpPr/>
      </xdr:nvSpPr>
      <xdr:spPr>
        <a:xfrm>
          <a:off x="15485225"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CF98264-0D00-F242-B9DD-25837A2ED354}"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twoCellAnchor>
    <xdr:from>
      <xdr:col>21</xdr:col>
      <xdr:colOff>686261</xdr:colOff>
      <xdr:row>14</xdr:row>
      <xdr:rowOff>99725</xdr:rowOff>
    </xdr:from>
    <xdr:to>
      <xdr:col>22</xdr:col>
      <xdr:colOff>68988</xdr:colOff>
      <xdr:row>15</xdr:row>
      <xdr:rowOff>79732</xdr:rowOff>
    </xdr:to>
    <xdr:sp macro="" textlink="Gráficos!S97">
      <xdr:nvSpPr>
        <xdr:cNvPr id="71" name="Forma libre 70">
          <a:extLst>
            <a:ext uri="{FF2B5EF4-FFF2-40B4-BE49-F238E27FC236}">
              <a16:creationId xmlns:a16="http://schemas.microsoft.com/office/drawing/2014/main" id="{00000000-0008-0000-0100-000047000000}"/>
            </a:ext>
          </a:extLst>
        </xdr:cNvPr>
        <xdr:cNvSpPr/>
      </xdr:nvSpPr>
      <xdr:spPr>
        <a:xfrm>
          <a:off x="16861443"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DD44617F-5C56-9841-88E3-5F4AA0FF5F6E}"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#¡REF!</a:t>
          </a:fld>
          <a:endParaRPr lang="es-ES_tradnl" sz="1000" b="1"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503465</xdr:colOff>
      <xdr:row>2</xdr:row>
      <xdr:rowOff>81671</xdr:rowOff>
    </xdr:from>
    <xdr:to>
      <xdr:col>8</xdr:col>
      <xdr:colOff>272279</xdr:colOff>
      <xdr:row>30</xdr:row>
      <xdr:rowOff>27214</xdr:rowOff>
    </xdr:to>
    <xdr:pic>
      <xdr:nvPicPr>
        <xdr:cNvPr id="11" name="Picture 2">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cstate="print"/>
        <a:srcRect l="31201" t="15261" r="20097" b="8485"/>
        <a:stretch>
          <a:fillRect/>
        </a:stretch>
      </xdr:blipFill>
      <xdr:spPr bwMode="auto">
        <a:xfrm>
          <a:off x="503465" y="489885"/>
          <a:ext cx="6517957" cy="5660543"/>
        </a:xfrm>
        <a:prstGeom prst="rect">
          <a:avLst/>
        </a:prstGeom>
        <a:noFill/>
        <a:ln w="9525">
          <a:noFill/>
          <a:miter lim="800000"/>
          <a:headEnd/>
          <a:tailEnd/>
        </a:ln>
      </xdr:spPr>
    </xdr:pic>
    <xdr:clientData/>
  </xdr:twoCellAnchor>
  <xdr:twoCellAnchor editAs="oneCell">
    <xdr:from>
      <xdr:col>8</xdr:col>
      <xdr:colOff>34892</xdr:colOff>
      <xdr:row>1</xdr:row>
      <xdr:rowOff>153665</xdr:rowOff>
    </xdr:from>
    <xdr:to>
      <xdr:col>9</xdr:col>
      <xdr:colOff>779961</xdr:colOff>
      <xdr:row>7</xdr:row>
      <xdr:rowOff>80119</xdr:rowOff>
    </xdr:to>
    <xdr:pic>
      <xdr:nvPicPr>
        <xdr:cNvPr id="12" name="Picture 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l="2214" t="15547" r="85611" b="68531"/>
        <a:stretch>
          <a:fillRect/>
        </a:stretch>
      </xdr:blipFill>
      <xdr:spPr bwMode="auto">
        <a:xfrm>
          <a:off x="6784035" y="357772"/>
          <a:ext cx="1588712" cy="1151097"/>
        </a:xfrm>
        <a:prstGeom prst="rect">
          <a:avLst/>
        </a:prstGeom>
        <a:noFill/>
        <a:ln w="9525">
          <a:noFill/>
          <a:miter lim="800000"/>
          <a:headEnd/>
          <a:tailEnd/>
        </a:ln>
      </xdr:spPr>
    </xdr:pic>
    <xdr:clientData/>
  </xdr:twoCellAnchor>
  <xdr:twoCellAnchor>
    <xdr:from>
      <xdr:col>0</xdr:col>
      <xdr:colOff>648072</xdr:colOff>
      <xdr:row>0</xdr:row>
      <xdr:rowOff>0</xdr:rowOff>
    </xdr:from>
    <xdr:to>
      <xdr:col>6</xdr:col>
      <xdr:colOff>208334</xdr:colOff>
      <xdr:row>1</xdr:row>
      <xdr:rowOff>162957</xdr:rowOff>
    </xdr:to>
    <xdr:sp macro="" textlink="">
      <xdr:nvSpPr>
        <xdr:cNvPr id="13" name="6 CuadroTexto">
          <a:extLst>
            <a:ext uri="{FF2B5EF4-FFF2-40B4-BE49-F238E27FC236}">
              <a16:creationId xmlns:a16="http://schemas.microsoft.com/office/drawing/2014/main" id="{00000000-0008-0000-0400-00000D000000}"/>
            </a:ext>
          </a:extLst>
        </xdr:cNvPr>
        <xdr:cNvSpPr txBox="1"/>
      </xdr:nvSpPr>
      <xdr:spPr>
        <a:xfrm>
          <a:off x="648072" y="0"/>
          <a:ext cx="4608512" cy="369332"/>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b="1"/>
            <a:t>IVR 2020 BARRIOS DE LA CIUDAD DE MADRID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571735</xdr:colOff>
      <xdr:row>1</xdr:row>
      <xdr:rowOff>571500</xdr:rowOff>
    </xdr:from>
    <xdr:to>
      <xdr:col>13</xdr:col>
      <xdr:colOff>304190</xdr:colOff>
      <xdr:row>23</xdr:row>
      <xdr:rowOff>192946</xdr:rowOff>
    </xdr:to>
    <xdr:pic>
      <xdr:nvPicPr>
        <xdr:cNvPr id="1025" name="Picture 1">
          <a:extLst>
            <a:ext uri="{FF2B5EF4-FFF2-40B4-BE49-F238E27FC236}">
              <a16:creationId xmlns:a16="http://schemas.microsoft.com/office/drawing/2014/main" id="{00000000-0008-0000-05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81985" y="800100"/>
          <a:ext cx="6438055" cy="549837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473791</xdr:colOff>
      <xdr:row>0</xdr:row>
      <xdr:rowOff>76200</xdr:rowOff>
    </xdr:from>
    <xdr:to>
      <xdr:col>17</xdr:col>
      <xdr:colOff>219791</xdr:colOff>
      <xdr:row>11</xdr:row>
      <xdr:rowOff>181000</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253763</xdr:colOff>
      <xdr:row>12</xdr:row>
      <xdr:rowOff>101600</xdr:rowOff>
    </xdr:from>
    <xdr:to>
      <xdr:col>17</xdr:col>
      <xdr:colOff>248163</xdr:colOff>
      <xdr:row>23</xdr:row>
      <xdr:rowOff>201782</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698229</xdr:colOff>
      <xdr:row>0</xdr:row>
      <xdr:rowOff>76200</xdr:rowOff>
    </xdr:from>
    <xdr:to>
      <xdr:col>13</xdr:col>
      <xdr:colOff>444229</xdr:colOff>
      <xdr:row>11</xdr:row>
      <xdr:rowOff>181000</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586010</xdr:colOff>
      <xdr:row>0</xdr:row>
      <xdr:rowOff>76200</xdr:rowOff>
    </xdr:from>
    <xdr:to>
      <xdr:col>15</xdr:col>
      <xdr:colOff>332010</xdr:colOff>
      <xdr:row>11</xdr:row>
      <xdr:rowOff>181000</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70721</xdr:colOff>
      <xdr:row>12</xdr:row>
      <xdr:rowOff>101600</xdr:rowOff>
    </xdr:from>
    <xdr:to>
      <xdr:col>1</xdr:col>
      <xdr:colOff>616821</xdr:colOff>
      <xdr:row>24</xdr:row>
      <xdr:rowOff>3200</xdr:rowOff>
    </xdr:to>
    <xdr:graphicFrame macro="">
      <xdr:nvGraphicFramePr>
        <xdr:cNvPr id="9" name="Gráfico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762524</xdr:colOff>
      <xdr:row>0</xdr:row>
      <xdr:rowOff>76200</xdr:rowOff>
    </xdr:from>
    <xdr:to>
      <xdr:col>3</xdr:col>
      <xdr:colOff>508524</xdr:colOff>
      <xdr:row>11</xdr:row>
      <xdr:rowOff>181000</xdr:rowOff>
    </xdr:to>
    <xdr:graphicFrame macro="">
      <xdr:nvGraphicFramePr>
        <xdr:cNvPr id="10" name="Gráfico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74643</xdr:colOff>
      <xdr:row>0</xdr:row>
      <xdr:rowOff>76200</xdr:rowOff>
    </xdr:from>
    <xdr:to>
      <xdr:col>1</xdr:col>
      <xdr:colOff>620743</xdr:colOff>
      <xdr:row>11</xdr:row>
      <xdr:rowOff>181000</xdr:rowOff>
    </xdr:to>
    <xdr:graphicFrame macro="">
      <xdr:nvGraphicFramePr>
        <xdr:cNvPr id="11" name="Gráfico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70721</xdr:colOff>
      <xdr:row>24</xdr:row>
      <xdr:rowOff>171450</xdr:rowOff>
    </xdr:from>
    <xdr:to>
      <xdr:col>8</xdr:col>
      <xdr:colOff>323621</xdr:colOff>
      <xdr:row>40</xdr:row>
      <xdr:rowOff>124250</xdr:rowOff>
    </xdr:to>
    <xdr:graphicFrame macro="">
      <xdr:nvGraphicFramePr>
        <xdr:cNvPr id="12" name="Gráfico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495127</xdr:colOff>
      <xdr:row>12</xdr:row>
      <xdr:rowOff>101600</xdr:rowOff>
    </xdr:from>
    <xdr:to>
      <xdr:col>6</xdr:col>
      <xdr:colOff>241127</xdr:colOff>
      <xdr:row>24</xdr:row>
      <xdr:rowOff>3200</xdr:rowOff>
    </xdr:to>
    <xdr:graphicFrame macro="">
      <xdr:nvGraphicFramePr>
        <xdr:cNvPr id="15" name="Gráfico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778186</xdr:colOff>
      <xdr:row>12</xdr:row>
      <xdr:rowOff>101600</xdr:rowOff>
    </xdr:from>
    <xdr:to>
      <xdr:col>12</xdr:col>
      <xdr:colOff>524186</xdr:colOff>
      <xdr:row>24</xdr:row>
      <xdr:rowOff>3200</xdr:rowOff>
    </xdr:to>
    <xdr:graphicFrame macro="">
      <xdr:nvGraphicFramePr>
        <xdr:cNvPr id="16" name="Gráfico 15">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674267</xdr:colOff>
      <xdr:row>0</xdr:row>
      <xdr:rowOff>76200</xdr:rowOff>
    </xdr:from>
    <xdr:to>
      <xdr:col>9</xdr:col>
      <xdr:colOff>420267</xdr:colOff>
      <xdr:row>11</xdr:row>
      <xdr:rowOff>181000</xdr:rowOff>
    </xdr:to>
    <xdr:graphicFrame macro="">
      <xdr:nvGraphicFramePr>
        <xdr:cNvPr id="17" name="Gráfico 16">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538086</xdr:colOff>
      <xdr:row>0</xdr:row>
      <xdr:rowOff>76200</xdr:rowOff>
    </xdr:from>
    <xdr:to>
      <xdr:col>7</xdr:col>
      <xdr:colOff>532486</xdr:colOff>
      <xdr:row>11</xdr:row>
      <xdr:rowOff>176382</xdr:rowOff>
    </xdr:to>
    <xdr:graphicFrame macro="">
      <xdr:nvGraphicFramePr>
        <xdr:cNvPr id="18" name="Gráfico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562048</xdr:colOff>
      <xdr:row>0</xdr:row>
      <xdr:rowOff>76200</xdr:rowOff>
    </xdr:from>
    <xdr:to>
      <xdr:col>11</xdr:col>
      <xdr:colOff>556448</xdr:colOff>
      <xdr:row>11</xdr:row>
      <xdr:rowOff>176382</xdr:rowOff>
    </xdr:to>
    <xdr:graphicFrame macro="">
      <xdr:nvGraphicFramePr>
        <xdr:cNvPr id="19" name="Gráfico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361570</xdr:colOff>
      <xdr:row>0</xdr:row>
      <xdr:rowOff>76200</xdr:rowOff>
    </xdr:from>
    <xdr:to>
      <xdr:col>19</xdr:col>
      <xdr:colOff>355970</xdr:colOff>
      <xdr:row>11</xdr:row>
      <xdr:rowOff>176382</xdr:rowOff>
    </xdr:to>
    <xdr:graphicFrame macro="">
      <xdr:nvGraphicFramePr>
        <xdr:cNvPr id="21" name="Gráfico 20">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152374</xdr:colOff>
      <xdr:row>12</xdr:row>
      <xdr:rowOff>101600</xdr:rowOff>
    </xdr:from>
    <xdr:to>
      <xdr:col>4</xdr:col>
      <xdr:colOff>146774</xdr:colOff>
      <xdr:row>23</xdr:row>
      <xdr:rowOff>201782</xdr:rowOff>
    </xdr:to>
    <xdr:graphicFrame macro="">
      <xdr:nvGraphicFramePr>
        <xdr:cNvPr id="22" name="Gráfico 21">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59736</xdr:colOff>
      <xdr:row>12</xdr:row>
      <xdr:rowOff>101600</xdr:rowOff>
    </xdr:from>
    <xdr:to>
      <xdr:col>15</xdr:col>
      <xdr:colOff>54136</xdr:colOff>
      <xdr:row>23</xdr:row>
      <xdr:rowOff>201782</xdr:rowOff>
    </xdr:to>
    <xdr:graphicFrame macro="">
      <xdr:nvGraphicFramePr>
        <xdr:cNvPr id="23" name="Gráfico 22">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589480</xdr:colOff>
      <xdr:row>12</xdr:row>
      <xdr:rowOff>101600</xdr:rowOff>
    </xdr:from>
    <xdr:to>
      <xdr:col>8</xdr:col>
      <xdr:colOff>335480</xdr:colOff>
      <xdr:row>24</xdr:row>
      <xdr:rowOff>3200</xdr:rowOff>
    </xdr:to>
    <xdr:graphicFrame macro="">
      <xdr:nvGraphicFramePr>
        <xdr:cNvPr id="24" name="Gráfico 23">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683833</xdr:colOff>
      <xdr:row>12</xdr:row>
      <xdr:rowOff>101600</xdr:rowOff>
    </xdr:from>
    <xdr:to>
      <xdr:col>10</xdr:col>
      <xdr:colOff>429833</xdr:colOff>
      <xdr:row>24</xdr:row>
      <xdr:rowOff>3200</xdr:rowOff>
    </xdr:to>
    <xdr:graphicFrame macro="">
      <xdr:nvGraphicFramePr>
        <xdr:cNvPr id="25" name="Gráfico 24">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650305</xdr:colOff>
      <xdr:row>0</xdr:row>
      <xdr:rowOff>76200</xdr:rowOff>
    </xdr:from>
    <xdr:to>
      <xdr:col>5</xdr:col>
      <xdr:colOff>396305</xdr:colOff>
      <xdr:row>11</xdr:row>
      <xdr:rowOff>181000</xdr:rowOff>
    </xdr:to>
    <xdr:graphicFrame macro="">
      <xdr:nvGraphicFramePr>
        <xdr:cNvPr id="26" name="Gráfico 25">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0</xdr:col>
      <xdr:colOff>76200</xdr:colOff>
      <xdr:row>42</xdr:row>
      <xdr:rowOff>127000</xdr:rowOff>
    </xdr:from>
    <xdr:to>
      <xdr:col>19</xdr:col>
      <xdr:colOff>1003300</xdr:colOff>
      <xdr:row>52</xdr:row>
      <xdr:rowOff>14241</xdr:rowOff>
    </xdr:to>
    <xdr:pic>
      <xdr:nvPicPr>
        <xdr:cNvPr id="32" name="Imagen 31">
          <a:extLst>
            <a:ext uri="{FF2B5EF4-FFF2-40B4-BE49-F238E27FC236}">
              <a16:creationId xmlns:a16="http://schemas.microsoft.com/office/drawing/2014/main" id="{00000000-0008-0000-0800-000020000000}"/>
            </a:ext>
          </a:extLst>
        </xdr:cNvPr>
        <xdr:cNvPicPr>
          <a:picLocks noChangeAspect="1"/>
        </xdr:cNvPicPr>
      </xdr:nvPicPr>
      <xdr:blipFill rotWithShape="1">
        <a:blip xmlns:r="http://schemas.openxmlformats.org/officeDocument/2006/relationships" r:embed="rId20">
          <a:alphaModFix amt="29000"/>
        </a:blip>
        <a:srcRect/>
        <a:stretch/>
      </xdr:blipFill>
      <xdr:spPr>
        <a:xfrm>
          <a:off x="76200" y="8128000"/>
          <a:ext cx="16383000" cy="1792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_Ranking_Vulnerabilidad_AHP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odelo AHP"/>
      <sheetName val="Indices por Distritos"/>
      <sheetName val="aux"/>
      <sheetName val="correla"/>
      <sheetName val="Gráficos"/>
      <sheetName val="Fuentes de datos"/>
    </sheetNames>
    <sheetDataSet>
      <sheetData sheetId="0"/>
      <sheetData sheetId="1">
        <row r="23">
          <cell r="U23">
            <v>0.1668849482411966</v>
          </cell>
        </row>
        <row r="24">
          <cell r="U24">
            <v>0.32261898550924784</v>
          </cell>
        </row>
        <row r="25">
          <cell r="U25">
            <v>0.34172572102637661</v>
          </cell>
        </row>
        <row r="26">
          <cell r="U26">
            <v>7.515163203481251E-2</v>
          </cell>
        </row>
        <row r="27">
          <cell r="U27">
            <v>9.3618713188366592E-2</v>
          </cell>
        </row>
        <row r="37">
          <cell r="U37">
            <v>0.3</v>
          </cell>
        </row>
        <row r="38">
          <cell r="U38">
            <v>0.1</v>
          </cell>
        </row>
        <row r="39">
          <cell r="U39">
            <v>0.6</v>
          </cell>
        </row>
        <row r="47">
          <cell r="U47">
            <v>0.16919987418632496</v>
          </cell>
        </row>
        <row r="48">
          <cell r="U48">
            <v>0.44342911417503911</v>
          </cell>
        </row>
        <row r="49">
          <cell r="U49">
            <v>0.38737101163863602</v>
          </cell>
        </row>
        <row r="56">
          <cell r="U56">
            <v>0.16458440786731007</v>
          </cell>
        </row>
        <row r="57">
          <cell r="U57">
            <v>0.49375322360193025</v>
          </cell>
        </row>
        <row r="58">
          <cell r="U58">
            <v>0.21660526213134054</v>
          </cell>
        </row>
        <row r="59">
          <cell r="U59">
            <v>0.12505710639941892</v>
          </cell>
        </row>
      </sheetData>
      <sheetData sheetId="2"/>
      <sheetData sheetId="3">
        <row r="5">
          <cell r="P5">
            <v>6.6891039124947378E-3</v>
          </cell>
          <cell r="R5">
            <v>7.6348733340212494E-3</v>
          </cell>
          <cell r="S5">
            <v>5.3422545560634777E-3</v>
          </cell>
          <cell r="U5">
            <v>7.6421895253684924E-3</v>
          </cell>
          <cell r="V5">
            <v>7.8361286774814368E-3</v>
          </cell>
          <cell r="W5">
            <v>8.4366296004932707E-3</v>
          </cell>
          <cell r="X5">
            <v>7.4905859583713919E-3</v>
          </cell>
          <cell r="Z5">
            <v>7.6200054293813465E-3</v>
          </cell>
          <cell r="AA5">
            <v>7.7679979769983238E-3</v>
          </cell>
          <cell r="AB5">
            <v>8.4302140327558433E-3</v>
          </cell>
          <cell r="AC5">
            <v>6.1728395061728409E-3</v>
          </cell>
          <cell r="AD5">
            <v>5.6700063570569613E-3</v>
          </cell>
          <cell r="AE5">
            <v>5.9755712407886328E-3</v>
          </cell>
          <cell r="AF5">
            <v>7.6421895253684924E-3</v>
          </cell>
          <cell r="AG5">
            <v>7.9685550371678439E-3</v>
          </cell>
          <cell r="AH5">
            <v>7.6200054293813465E-3</v>
          </cell>
          <cell r="AI5">
            <v>7.487080809295275E-3</v>
          </cell>
        </row>
        <row r="6">
          <cell r="P6">
            <v>1.4244846445098856E-2</v>
          </cell>
          <cell r="R6">
            <v>7.6343819688642015E-3</v>
          </cell>
          <cell r="S6">
            <v>7.0790551457268758E-3</v>
          </cell>
          <cell r="U6">
            <v>7.6545359266675496E-3</v>
          </cell>
          <cell r="V6">
            <v>8.1322307057803307E-3</v>
          </cell>
          <cell r="W6">
            <v>9.4827036336189476E-3</v>
          </cell>
          <cell r="X6">
            <v>7.4905859583713919E-3</v>
          </cell>
          <cell r="Z6">
            <v>7.6420024639716998E-3</v>
          </cell>
          <cell r="AA6">
            <v>7.7679979769983238E-3</v>
          </cell>
          <cell r="AB6">
            <v>8.4302140327558433E-3</v>
          </cell>
          <cell r="AC6">
            <v>6.1728395061728409E-3</v>
          </cell>
          <cell r="AD6">
            <v>5.6700063570569613E-3</v>
          </cell>
          <cell r="AE6">
            <v>9.2843252178522011E-3</v>
          </cell>
          <cell r="AF6">
            <v>7.6545359266675496E-3</v>
          </cell>
          <cell r="AG6">
            <v>8.4825151449727625E-3</v>
          </cell>
          <cell r="AH6">
            <v>7.6420024639716998E-3</v>
          </cell>
          <cell r="AI6">
            <v>7.487080809295275E-3</v>
          </cell>
        </row>
        <row r="7">
          <cell r="P7">
            <v>8.3298275136726926E-3</v>
          </cell>
          <cell r="R7">
            <v>7.6353370166342381E-3</v>
          </cell>
          <cell r="S7">
            <v>4.5195655955388037E-3</v>
          </cell>
          <cell r="U7">
            <v>7.639483141125147E-3</v>
          </cell>
          <cell r="V7">
            <v>7.2121994035659106E-3</v>
          </cell>
          <cell r="W7">
            <v>7.926349584334403E-3</v>
          </cell>
          <cell r="X7">
            <v>7.4905859583713919E-3</v>
          </cell>
          <cell r="Z7">
            <v>7.6068059841124568E-3</v>
          </cell>
          <cell r="AA7">
            <v>7.7679979769983238E-3</v>
          </cell>
          <cell r="AB7">
            <v>8.4302140327558433E-3</v>
          </cell>
          <cell r="AC7">
            <v>6.1728395061728409E-3</v>
          </cell>
          <cell r="AD7">
            <v>5.6700063570569613E-3</v>
          </cell>
          <cell r="AE7">
            <v>5.9742213130885135E-3</v>
          </cell>
          <cell r="AF7">
            <v>7.639483141125147E-3</v>
          </cell>
          <cell r="AG7">
            <v>7.6367132669736219E-3</v>
          </cell>
          <cell r="AH7">
            <v>7.6068059841124568E-3</v>
          </cell>
          <cell r="AI7">
            <v>7.487080809295275E-3</v>
          </cell>
        </row>
        <row r="8">
          <cell r="P8">
            <v>8.355069415229276E-3</v>
          </cell>
          <cell r="R8">
            <v>7.6330878099294432E-3</v>
          </cell>
          <cell r="S8">
            <v>4.4011618643365873E-3</v>
          </cell>
          <cell r="U8">
            <v>7.6336157549009732E-3</v>
          </cell>
          <cell r="V8">
            <v>6.6094202745288766E-3</v>
          </cell>
          <cell r="W8">
            <v>7.7775179129547329E-3</v>
          </cell>
          <cell r="X8">
            <v>7.4905859583713919E-3</v>
          </cell>
          <cell r="Z8">
            <v>7.5999365384820713E-3</v>
          </cell>
          <cell r="AA8">
            <v>7.7679979769983238E-3</v>
          </cell>
          <cell r="AB8">
            <v>8.4302140327558433E-3</v>
          </cell>
          <cell r="AC8">
            <v>6.1728395061728409E-3</v>
          </cell>
          <cell r="AD8">
            <v>5.6700063570569613E-3</v>
          </cell>
          <cell r="AE8">
            <v>5.9105267241636797E-3</v>
          </cell>
          <cell r="AF8">
            <v>7.6336157549009732E-3</v>
          </cell>
          <cell r="AG8">
            <v>7.4687268179773354E-3</v>
          </cell>
          <cell r="AH8">
            <v>7.5999365384820713E-3</v>
          </cell>
          <cell r="AI8">
            <v>7.487080809295275E-3</v>
          </cell>
        </row>
        <row r="9">
          <cell r="P9">
            <v>9.760201935212447E-3</v>
          </cell>
          <cell r="R9">
            <v>7.6341120640596267E-3</v>
          </cell>
          <cell r="S9">
            <v>5.1506192760142873E-3</v>
          </cell>
          <cell r="U9">
            <v>7.6473315205106626E-3</v>
          </cell>
          <cell r="V9">
            <v>6.8843721579492775E-3</v>
          </cell>
          <cell r="W9">
            <v>8.1772372589458461E-3</v>
          </cell>
          <cell r="X9">
            <v>7.4905859583713919E-3</v>
          </cell>
          <cell r="Z9">
            <v>7.6301766463500618E-3</v>
          </cell>
          <cell r="AA9">
            <v>7.7679979769983238E-3</v>
          </cell>
          <cell r="AB9">
            <v>8.4302140327558433E-3</v>
          </cell>
          <cell r="AC9">
            <v>6.1728395061728409E-3</v>
          </cell>
          <cell r="AD9">
            <v>5.6700063570569613E-3</v>
          </cell>
          <cell r="AE9">
            <v>6.7818433525782696E-3</v>
          </cell>
          <cell r="AF9">
            <v>7.6473315205106626E-3</v>
          </cell>
          <cell r="AG9">
            <v>7.6924958375708258E-3</v>
          </cell>
          <cell r="AH9">
            <v>7.6301766463500618E-3</v>
          </cell>
          <cell r="AI9">
            <v>7.487080809295275E-3</v>
          </cell>
        </row>
        <row r="10">
          <cell r="P10">
            <v>1.152713504417332E-2</v>
          </cell>
          <cell r="R10">
            <v>7.6352332070940164E-3</v>
          </cell>
          <cell r="S10">
            <v>5.3918743605264937E-3</v>
          </cell>
          <cell r="U10">
            <v>7.6475882177717272E-3</v>
          </cell>
          <cell r="V10">
            <v>6.9266724477062627E-3</v>
          </cell>
          <cell r="W10">
            <v>8.0921905895860353E-3</v>
          </cell>
          <cell r="X10">
            <v>7.4905859583713919E-3</v>
          </cell>
          <cell r="Z10">
            <v>7.5939082200383555E-3</v>
          </cell>
          <cell r="AA10">
            <v>7.7679979769983238E-3</v>
          </cell>
          <cell r="AB10">
            <v>8.4302140327558433E-3</v>
          </cell>
          <cell r="AC10">
            <v>6.1728395061728409E-3</v>
          </cell>
          <cell r="AD10">
            <v>5.6700063570569613E-3</v>
          </cell>
          <cell r="AE10">
            <v>7.4567884502772935E-3</v>
          </cell>
          <cell r="AF10">
            <v>7.6475882177717272E-3</v>
          </cell>
          <cell r="AG10">
            <v>7.6619408720179942E-3</v>
          </cell>
          <cell r="AH10">
            <v>7.5939082200383555E-3</v>
          </cell>
          <cell r="AI10">
            <v>7.487080809295275E-3</v>
          </cell>
        </row>
        <row r="11">
          <cell r="P11">
            <v>3.2309633992427412E-3</v>
          </cell>
          <cell r="R11">
            <v>7.6329286353011032E-3</v>
          </cell>
          <cell r="S11">
            <v>5.4156515780716874E-3</v>
          </cell>
          <cell r="U11">
            <v>7.6422315311779569E-3</v>
          </cell>
          <cell r="V11">
            <v>6.7574712886783227E-3</v>
          </cell>
          <cell r="W11">
            <v>6.5911168753853677E-3</v>
          </cell>
          <cell r="X11">
            <v>6.1751901504566217E-3</v>
          </cell>
          <cell r="Z11">
            <v>7.6423504117434709E-3</v>
          </cell>
          <cell r="AA11">
            <v>6.7571290115790456E-3</v>
          </cell>
          <cell r="AB11">
            <v>2.5126771847090849E-3</v>
          </cell>
          <cell r="AC11">
            <v>5.5941358024691372E-3</v>
          </cell>
          <cell r="AD11">
            <v>6.0000067270444025E-3</v>
          </cell>
          <cell r="AE11">
            <v>4.9819728301459445E-3</v>
          </cell>
          <cell r="AF11">
            <v>7.6422315311779569E-3</v>
          </cell>
          <cell r="AG11">
            <v>6.4581460649816829E-3</v>
          </cell>
          <cell r="AH11">
            <v>7.6423504117434709E-3</v>
          </cell>
          <cell r="AI11">
            <v>4.3148232686282583E-3</v>
          </cell>
        </row>
        <row r="12">
          <cell r="P12">
            <v>3.4244846445098845E-3</v>
          </cell>
          <cell r="R12">
            <v>7.6326448892244988E-3</v>
          </cell>
          <cell r="S12">
            <v>5.3878005150429465E-3</v>
          </cell>
          <cell r="U12">
            <v>7.6280661007183921E-3</v>
          </cell>
          <cell r="V12">
            <v>6.9478225925847549E-3</v>
          </cell>
          <cell r="W12">
            <v>6.7229392128930754E-3</v>
          </cell>
          <cell r="X12">
            <v>6.1751901504566217E-3</v>
          </cell>
          <cell r="Z12">
            <v>7.6438690609169366E-3</v>
          </cell>
          <cell r="AA12">
            <v>6.7571290115790456E-3</v>
          </cell>
          <cell r="AB12">
            <v>2.5126771847090849E-3</v>
          </cell>
          <cell r="AC12">
            <v>5.5941358024691372E-3</v>
          </cell>
          <cell r="AD12">
            <v>6.0000067270444025E-3</v>
          </cell>
          <cell r="AE12">
            <v>5.0232901913011829E-3</v>
          </cell>
          <cell r="AF12">
            <v>7.6280661007183921E-3</v>
          </cell>
          <cell r="AG12">
            <v>6.5488073440033807E-3</v>
          </cell>
          <cell r="AH12">
            <v>7.6438690609169366E-3</v>
          </cell>
          <cell r="AI12">
            <v>4.3148232686282583E-3</v>
          </cell>
        </row>
        <row r="13">
          <cell r="P13">
            <v>8.4392090870845544E-3</v>
          </cell>
          <cell r="R13">
            <v>7.632118920887377E-3</v>
          </cell>
          <cell r="S13">
            <v>7.9490130663662211E-3</v>
          </cell>
          <cell r="U13">
            <v>7.6466495479070853E-3</v>
          </cell>
          <cell r="V13">
            <v>7.6669275184534967E-3</v>
          </cell>
          <cell r="W13">
            <v>7.9306019178023938E-3</v>
          </cell>
          <cell r="X13">
            <v>6.1751901504566217E-3</v>
          </cell>
          <cell r="Z13">
            <v>7.6462793995776138E-3</v>
          </cell>
          <cell r="AA13">
            <v>6.7571290115790456E-3</v>
          </cell>
          <cell r="AB13">
            <v>2.5126771847090849E-3</v>
          </cell>
          <cell r="AC13">
            <v>5.5941358024691372E-3</v>
          </cell>
          <cell r="AD13">
            <v>6.0000067270444025E-3</v>
          </cell>
          <cell r="AE13">
            <v>8.0643824580338367E-3</v>
          </cell>
          <cell r="AF13">
            <v>7.6466495479070853E-3</v>
          </cell>
          <cell r="AG13">
            <v>7.2059926104473086E-3</v>
          </cell>
          <cell r="AH13">
            <v>7.6462793995776138E-3</v>
          </cell>
          <cell r="AI13">
            <v>4.3148232686282583E-3</v>
          </cell>
        </row>
        <row r="14">
          <cell r="P14">
            <v>3.4665544804375246E-3</v>
          </cell>
          <cell r="R14">
            <v>7.6330324448413249E-3</v>
          </cell>
          <cell r="S14">
            <v>3.4902233688054122E-3</v>
          </cell>
          <cell r="U14">
            <v>7.6210709299354192E-3</v>
          </cell>
          <cell r="V14">
            <v>5.2875362196231016E-3</v>
          </cell>
          <cell r="W14">
            <v>4.86041715391321E-3</v>
          </cell>
          <cell r="X14">
            <v>6.1751901504566217E-3</v>
          </cell>
          <cell r="Z14">
            <v>7.6402747076134781E-3</v>
          </cell>
          <cell r="AA14">
            <v>6.7571290115790456E-3</v>
          </cell>
          <cell r="AB14">
            <v>2.5126771847090849E-3</v>
          </cell>
          <cell r="AC14">
            <v>5.5941358024691372E-3</v>
          </cell>
          <cell r="AD14">
            <v>6.0000067270444025E-3</v>
          </cell>
          <cell r="AE14">
            <v>3.8974036098986375E-3</v>
          </cell>
          <cell r="AF14">
            <v>7.6210709299354192E-3</v>
          </cell>
          <cell r="AG14">
            <v>5.4419905918400872E-3</v>
          </cell>
          <cell r="AH14">
            <v>7.6402747076134781E-3</v>
          </cell>
          <cell r="AI14">
            <v>4.3148232686282583E-3</v>
          </cell>
        </row>
        <row r="15">
          <cell r="P15">
            <v>6.5881363062684018E-3</v>
          </cell>
          <cell r="R15">
            <v>7.6333715560060475E-3</v>
          </cell>
          <cell r="S15">
            <v>5.9046916479344675E-3</v>
          </cell>
          <cell r="U15">
            <v>7.635221399947054E-3</v>
          </cell>
          <cell r="V15">
            <v>6.1969924493982748E-3</v>
          </cell>
          <cell r="W15">
            <v>6.1191078604384153E-3</v>
          </cell>
          <cell r="X15">
            <v>6.1751901504566217E-3</v>
          </cell>
          <cell r="Z15">
            <v>7.6431569455150065E-3</v>
          </cell>
          <cell r="AA15">
            <v>6.7571290115790456E-3</v>
          </cell>
          <cell r="AB15">
            <v>2.5126771847090849E-3</v>
          </cell>
          <cell r="AC15">
            <v>5.5941358024691372E-3</v>
          </cell>
          <cell r="AD15">
            <v>6.0000067270444025E-3</v>
          </cell>
          <cell r="AE15">
            <v>6.2825930362418051E-3</v>
          </cell>
          <cell r="AF15">
            <v>7.635221399947054E-3</v>
          </cell>
          <cell r="AG15">
            <v>6.1540105765108422E-3</v>
          </cell>
          <cell r="AH15">
            <v>7.6431569455150065E-3</v>
          </cell>
          <cell r="AI15">
            <v>4.3148232686282583E-3</v>
          </cell>
        </row>
        <row r="16">
          <cell r="P16">
            <v>8.4896928901977229E-3</v>
          </cell>
          <cell r="R16">
            <v>7.6332608258298119E-3</v>
          </cell>
          <cell r="S16">
            <v>6.5042535071658065E-3</v>
          </cell>
          <cell r="U16">
            <v>7.6434027470824008E-3</v>
          </cell>
          <cell r="V16">
            <v>7.413125779911588E-3</v>
          </cell>
          <cell r="W16">
            <v>7.998639253290243E-3</v>
          </cell>
          <cell r="X16">
            <v>6.1751901504566217E-3</v>
          </cell>
          <cell r="Z16">
            <v>7.6447369254808188E-3</v>
          </cell>
          <cell r="AA16">
            <v>6.7571290115790456E-3</v>
          </cell>
          <cell r="AB16">
            <v>2.5126771847090849E-3</v>
          </cell>
          <cell r="AC16">
            <v>5.5941358024691372E-3</v>
          </cell>
          <cell r="AD16">
            <v>6.0000067270444025E-3</v>
          </cell>
          <cell r="AE16">
            <v>7.2127860539417821E-3</v>
          </cell>
          <cell r="AF16">
            <v>7.6434027470824008E-3</v>
          </cell>
          <cell r="AG16">
            <v>7.1932191236239538E-3</v>
          </cell>
          <cell r="AH16">
            <v>7.6447369254808188E-3</v>
          </cell>
          <cell r="AI16">
            <v>4.3148232686282583E-3</v>
          </cell>
        </row>
        <row r="17">
          <cell r="P17">
            <v>2.5073622212873356E-3</v>
          </cell>
          <cell r="R17">
            <v>7.6412472397908377E-3</v>
          </cell>
          <cell r="S17">
            <v>6.0313329905356634E-3</v>
          </cell>
          <cell r="U17">
            <v>7.6378624334812947E-3</v>
          </cell>
          <cell r="V17">
            <v>9.6550411370317831E-3</v>
          </cell>
          <cell r="W17">
            <v>8.2325175940297229E-3</v>
          </cell>
          <cell r="X17">
            <v>6.1751901504566217E-3</v>
          </cell>
          <cell r="Z17">
            <v>7.6232301053222543E-3</v>
          </cell>
          <cell r="AA17">
            <v>6.7571290115790456E-3</v>
          </cell>
          <cell r="AB17">
            <v>2.5126771847090849E-3</v>
          </cell>
          <cell r="AC17">
            <v>5.5941358024691372E-3</v>
          </cell>
          <cell r="AD17">
            <v>6.0000067270444025E-3</v>
          </cell>
          <cell r="AE17">
            <v>5.1351331846866827E-3</v>
          </cell>
          <cell r="AF17">
            <v>7.6378624334812947E-3</v>
          </cell>
          <cell r="AG17">
            <v>7.6762593854439167E-3</v>
          </cell>
          <cell r="AH17">
            <v>7.6232301053222543E-3</v>
          </cell>
          <cell r="AI17">
            <v>4.3148232686282583E-3</v>
          </cell>
        </row>
        <row r="18">
          <cell r="P18">
            <v>4.5351283129995762E-3</v>
          </cell>
          <cell r="R18">
            <v>7.6320773970712892E-3</v>
          </cell>
          <cell r="S18">
            <v>5.2127525045138363E-3</v>
          </cell>
          <cell r="U18">
            <v>7.6401767468908628E-3</v>
          </cell>
          <cell r="V18">
            <v>6.4825194052579218E-3</v>
          </cell>
          <cell r="W18">
            <v>6.3232198669019623E-3</v>
          </cell>
          <cell r="X18">
            <v>5.5599311123008767E-3</v>
          </cell>
          <cell r="Z18">
            <v>7.636669416557368E-3</v>
          </cell>
          <cell r="AA18">
            <v>2.7844556792175389E-3</v>
          </cell>
          <cell r="AB18">
            <v>1.1652995639230537E-3</v>
          </cell>
          <cell r="AC18">
            <v>2.8935185185185188E-3</v>
          </cell>
          <cell r="AD18">
            <v>3.8880043591247729E-3</v>
          </cell>
          <cell r="AE18">
            <v>5.2513977363153035E-3</v>
          </cell>
          <cell r="AF18">
            <v>7.6401767468908628E-3</v>
          </cell>
          <cell r="AG18">
            <v>6.0544973917075143E-3</v>
          </cell>
          <cell r="AH18">
            <v>7.636669416557368E-3</v>
          </cell>
          <cell r="AI18">
            <v>2.1466223173517819E-3</v>
          </cell>
        </row>
        <row r="19">
          <cell r="P19">
            <v>3.643247791333612E-3</v>
          </cell>
          <cell r="R19">
            <v>7.6331708575616197E-3</v>
          </cell>
          <cell r="S19">
            <v>5.3128749115759167E-3</v>
          </cell>
          <cell r="U19">
            <v>7.6271785702272318E-3</v>
          </cell>
          <cell r="V19">
            <v>6.524819695014907E-3</v>
          </cell>
          <cell r="W19">
            <v>6.3487338677099053E-3</v>
          </cell>
          <cell r="X19">
            <v>5.5599311123008767E-3</v>
          </cell>
          <cell r="Z19">
            <v>7.6406289297097432E-3</v>
          </cell>
          <cell r="AA19">
            <v>2.7844556792175389E-3</v>
          </cell>
          <cell r="AB19">
            <v>1.1652995639230537E-3</v>
          </cell>
          <cell r="AC19">
            <v>2.8935185185185188E-3</v>
          </cell>
          <cell r="AD19">
            <v>3.8880043591247729E-3</v>
          </cell>
          <cell r="AE19">
            <v>5.0440163701017957E-3</v>
          </cell>
          <cell r="AF19">
            <v>7.6271785702272318E-3</v>
          </cell>
          <cell r="AG19">
            <v>6.072968246189768E-3</v>
          </cell>
          <cell r="AH19">
            <v>7.6406289297097432E-3</v>
          </cell>
          <cell r="AI19">
            <v>2.1466223173517819E-3</v>
          </cell>
        </row>
        <row r="20">
          <cell r="P20">
            <v>1.9856962557846013E-3</v>
          </cell>
          <cell r="R20">
            <v>7.6331431750175606E-3</v>
          </cell>
          <cell r="S20">
            <v>4.1750833075567132E-3</v>
          </cell>
          <cell r="U20">
            <v>7.6083240415174298E-3</v>
          </cell>
          <cell r="V20">
            <v>5.2769611471838555E-3</v>
          </cell>
          <cell r="W20">
            <v>5.1963514978844638E-3</v>
          </cell>
          <cell r="X20">
            <v>5.5599311123008767E-3</v>
          </cell>
          <cell r="Z20">
            <v>7.6197575206066086E-3</v>
          </cell>
          <cell r="AA20">
            <v>2.7844556792175389E-3</v>
          </cell>
          <cell r="AB20">
            <v>1.1652995639230537E-3</v>
          </cell>
          <cell r="AC20">
            <v>2.8935185185185188E-3</v>
          </cell>
          <cell r="AD20">
            <v>3.8880043591247729E-3</v>
          </cell>
          <cell r="AE20">
            <v>3.8640731787711641E-3</v>
          </cell>
          <cell r="AF20">
            <v>7.6083240415174298E-3</v>
          </cell>
          <cell r="AG20">
            <v>5.3508308434517954E-3</v>
          </cell>
          <cell r="AH20">
            <v>7.6197575206066086E-3</v>
          </cell>
          <cell r="AI20">
            <v>2.1466223173517819E-3</v>
          </cell>
        </row>
        <row r="21">
          <cell r="P21">
            <v>4.9558266722759753E-3</v>
          </cell>
          <cell r="R21">
            <v>7.6332123813777084E-3</v>
          </cell>
          <cell r="S21">
            <v>4.6695485298837826E-3</v>
          </cell>
          <cell r="U21">
            <v>7.6262121928109532E-3</v>
          </cell>
          <cell r="V21">
            <v>5.9960660730525965E-3</v>
          </cell>
          <cell r="W21">
            <v>6.2041545297982269E-3</v>
          </cell>
          <cell r="X21">
            <v>5.5599311123008767E-3</v>
          </cell>
          <cell r="Z21">
            <v>7.5988884286261006E-3</v>
          </cell>
          <cell r="AA21">
            <v>2.7844556792175389E-3</v>
          </cell>
          <cell r="AB21">
            <v>1.1652995639230537E-3</v>
          </cell>
          <cell r="AC21">
            <v>2.8935185185185188E-3</v>
          </cell>
          <cell r="AD21">
            <v>3.8880043591247729E-3</v>
          </cell>
          <cell r="AE21">
            <v>5.051798357750833E-3</v>
          </cell>
          <cell r="AF21">
            <v>7.6262121928109532E-3</v>
          </cell>
          <cell r="AG21">
            <v>5.9193925121399926E-3</v>
          </cell>
          <cell r="AH21">
            <v>7.5988884286261006E-3</v>
          </cell>
          <cell r="AI21">
            <v>2.1466223173517819E-3</v>
          </cell>
        </row>
        <row r="22">
          <cell r="P22">
            <v>3.5506941522928039E-3</v>
          </cell>
          <cell r="R22">
            <v>7.6333923179140919E-3</v>
          </cell>
          <cell r="S22">
            <v>3.8487019214908506E-3</v>
          </cell>
          <cell r="U22">
            <v>7.5941534327017826E-3</v>
          </cell>
          <cell r="V22">
            <v>4.3252046276516963E-3</v>
          </cell>
          <cell r="W22">
            <v>4.5287351434099453E-3</v>
          </cell>
          <cell r="X22">
            <v>5.5599311123008767E-3</v>
          </cell>
          <cell r="Z22">
            <v>7.5013539143033488E-3</v>
          </cell>
          <cell r="AA22">
            <v>2.7844556792175389E-3</v>
          </cell>
          <cell r="AB22">
            <v>1.1652995639230537E-3</v>
          </cell>
          <cell r="AC22">
            <v>2.8935185185185188E-3</v>
          </cell>
          <cell r="AD22">
            <v>3.8880043591247729E-3</v>
          </cell>
          <cell r="AE22">
            <v>4.1377686303737601E-3</v>
          </cell>
          <cell r="AF22">
            <v>7.5941534327017826E-3</v>
          </cell>
          <cell r="AG22">
            <v>4.8937532314175351E-3</v>
          </cell>
          <cell r="AH22">
            <v>7.5013539143033488E-3</v>
          </cell>
          <cell r="AI22">
            <v>2.1466223173517819E-3</v>
          </cell>
        </row>
        <row r="23">
          <cell r="P23">
            <v>2.2885990744636086E-3</v>
          </cell>
          <cell r="R23">
            <v>7.6333438734619893E-3</v>
          </cell>
          <cell r="S23">
            <v>3.1987180826518542E-3</v>
          </cell>
          <cell r="U23">
            <v>7.5962623277704283E-3</v>
          </cell>
          <cell r="V23">
            <v>4.4732556418011441E-3</v>
          </cell>
          <cell r="W23">
            <v>4.5882678119618138E-3</v>
          </cell>
          <cell r="X23">
            <v>5.5599311123008767E-3</v>
          </cell>
          <cell r="Z23">
            <v>7.5726117794391893E-3</v>
          </cell>
          <cell r="AA23">
            <v>2.7844556792175389E-3</v>
          </cell>
          <cell r="AB23">
            <v>1.1652995639230537E-3</v>
          </cell>
          <cell r="AC23">
            <v>2.8935185185185188E-3</v>
          </cell>
          <cell r="AD23">
            <v>3.8880043591247729E-3</v>
          </cell>
          <cell r="AE23">
            <v>3.3691449592763937E-3</v>
          </cell>
          <cell r="AF23">
            <v>7.5962623277704283E-3</v>
          </cell>
          <cell r="AG23">
            <v>4.9452019628652109E-3</v>
          </cell>
          <cell r="AH23">
            <v>7.5726117794391893E-3</v>
          </cell>
          <cell r="AI23">
            <v>2.1466223173517819E-3</v>
          </cell>
        </row>
        <row r="24">
          <cell r="P24">
            <v>6.714345814051322E-3</v>
          </cell>
          <cell r="R24">
            <v>7.6328663495769701E-3</v>
          </cell>
          <cell r="S24">
            <v>2.989635382322432E-3</v>
          </cell>
          <cell r="U24">
            <v>7.5797664705355055E-3</v>
          </cell>
          <cell r="V24">
            <v>3.5003489773904931E-3</v>
          </cell>
          <cell r="W24">
            <v>3.8653711224034188E-3</v>
          </cell>
          <cell r="X24">
            <v>4.6561042558344772E-3</v>
          </cell>
          <cell r="Z24">
            <v>7.5413083515853407E-3</v>
          </cell>
          <cell r="AA24">
            <v>5.6018342445647287E-3</v>
          </cell>
          <cell r="AB24">
            <v>1.1652995639230537E-3</v>
          </cell>
          <cell r="AC24">
            <v>3.6651234567901237E-3</v>
          </cell>
          <cell r="AD24">
            <v>4.0500045407549723E-3</v>
          </cell>
          <cell r="AE24">
            <v>4.5713716085665525E-3</v>
          </cell>
          <cell r="AF24">
            <v>7.5797664705355055E-3</v>
          </cell>
          <cell r="AG24">
            <v>4.1099165152253874E-3</v>
          </cell>
          <cell r="AH24">
            <v>7.5413083515853407E-3</v>
          </cell>
          <cell r="AI24">
            <v>2.7977118641345118E-3</v>
          </cell>
        </row>
        <row r="25">
          <cell r="P25">
            <v>6.1337820782498918E-3</v>
          </cell>
          <cell r="R25">
            <v>7.6330532067493684E-3</v>
          </cell>
          <cell r="S25">
            <v>4.0476088009691567E-3</v>
          </cell>
          <cell r="U25">
            <v>7.6206938850838036E-3</v>
          </cell>
          <cell r="V25">
            <v>5.0443095535204381E-3</v>
          </cell>
          <cell r="W25">
            <v>5.4727531733038508E-3</v>
          </cell>
          <cell r="X25">
            <v>4.6561042558344772E-3</v>
          </cell>
          <cell r="Z25">
            <v>7.6007761131382159E-3</v>
          </cell>
          <cell r="AA25">
            <v>5.6018342445647287E-3</v>
          </cell>
          <cell r="AB25">
            <v>1.1652995639230537E-3</v>
          </cell>
          <cell r="AC25">
            <v>3.6651234567901237E-3</v>
          </cell>
          <cell r="AD25">
            <v>4.0500045407549723E-3</v>
          </cell>
          <cell r="AE25">
            <v>5.0320052247313975E-3</v>
          </cell>
          <cell r="AF25">
            <v>7.6206938850838036E-3</v>
          </cell>
          <cell r="AG25">
            <v>5.0839144494268561E-3</v>
          </cell>
          <cell r="AH25">
            <v>7.6007761131382159E-3</v>
          </cell>
          <cell r="AI25">
            <v>2.7977118641345118E-3</v>
          </cell>
        </row>
        <row r="26">
          <cell r="P26">
            <v>5.5700462768195173E-3</v>
          </cell>
          <cell r="R26">
            <v>7.6330116829332805E-3</v>
          </cell>
          <cell r="S26">
            <v>5.163948762138354E-3</v>
          </cell>
          <cell r="U26">
            <v>7.6334859403559725E-3</v>
          </cell>
          <cell r="V26">
            <v>6.3873437533047061E-3</v>
          </cell>
          <cell r="W26">
            <v>6.9057895520166701E-3</v>
          </cell>
          <cell r="X26">
            <v>4.6561042558344772E-3</v>
          </cell>
          <cell r="Z26">
            <v>7.6283163354024805E-3</v>
          </cell>
          <cell r="AA26">
            <v>5.6018342445647287E-3</v>
          </cell>
          <cell r="AB26">
            <v>1.1652995639230537E-3</v>
          </cell>
          <cell r="AC26">
            <v>3.6651234567901237E-3</v>
          </cell>
          <cell r="AD26">
            <v>4.0500045407549723E-3</v>
          </cell>
          <cell r="AE26">
            <v>5.532684308622195E-3</v>
          </cell>
          <cell r="AF26">
            <v>7.6334859403559725E-3</v>
          </cell>
          <cell r="AG26">
            <v>5.9466057190515169E-3</v>
          </cell>
          <cell r="AH26">
            <v>7.6283163354024805E-3</v>
          </cell>
          <cell r="AI26">
            <v>2.7977118641345118E-3</v>
          </cell>
        </row>
        <row r="27">
          <cell r="P27">
            <v>5.3344551956247335E-3</v>
          </cell>
          <cell r="R27">
            <v>7.6334476830022101E-3</v>
          </cell>
          <cell r="S27">
            <v>4.3548191296168765E-3</v>
          </cell>
          <cell r="U27">
            <v>7.6260899051332105E-3</v>
          </cell>
          <cell r="V27">
            <v>5.8797402762208878E-3</v>
          </cell>
          <cell r="W27">
            <v>6.3359768673059329E-3</v>
          </cell>
          <cell r="X27">
            <v>4.6561042558344772E-3</v>
          </cell>
          <cell r="Z27">
            <v>7.6253891733375819E-3</v>
          </cell>
          <cell r="AA27">
            <v>5.6018342445647287E-3</v>
          </cell>
          <cell r="AB27">
            <v>1.1652995639230537E-3</v>
          </cell>
          <cell r="AC27">
            <v>3.6651234567901237E-3</v>
          </cell>
          <cell r="AD27">
            <v>4.0500045407549723E-3</v>
          </cell>
          <cell r="AE27">
            <v>4.9765728047577677E-3</v>
          </cell>
          <cell r="AF27">
            <v>7.6260899051332105E-3</v>
          </cell>
          <cell r="AG27">
            <v>5.6080477405654108E-3</v>
          </cell>
          <cell r="AH27">
            <v>7.6253891733375819E-3</v>
          </cell>
          <cell r="AI27">
            <v>2.7977118641345118E-3</v>
          </cell>
        </row>
        <row r="28">
          <cell r="P28">
            <v>6.2431636516617553E-3</v>
          </cell>
          <cell r="R28">
            <v>7.6327971432168231E-3</v>
          </cell>
          <cell r="S28">
            <v>3.9023669021461148E-3</v>
          </cell>
          <cell r="U28">
            <v>7.6222434671485871E-3</v>
          </cell>
          <cell r="V28">
            <v>5.1077599881559155E-3</v>
          </cell>
          <cell r="W28">
            <v>5.9192481874428592E-3</v>
          </cell>
          <cell r="X28">
            <v>4.6561042558344772E-3</v>
          </cell>
          <cell r="Z28">
            <v>7.6034329014284001E-3</v>
          </cell>
          <cell r="AA28">
            <v>5.6018342445647287E-3</v>
          </cell>
          <cell r="AB28">
            <v>1.1652995639230537E-3</v>
          </cell>
          <cell r="AC28">
            <v>3.6651234567901237E-3</v>
          </cell>
          <cell r="AD28">
            <v>4.0500045407549723E-3</v>
          </cell>
          <cell r="AE28">
            <v>4.9776489511078777E-3</v>
          </cell>
          <cell r="AF28">
            <v>7.6222434671485871E-3</v>
          </cell>
          <cell r="AG28">
            <v>5.2926391435874787E-3</v>
          </cell>
          <cell r="AH28">
            <v>7.6034329014284001E-3</v>
          </cell>
          <cell r="AI28">
            <v>2.7977118641345118E-3</v>
          </cell>
        </row>
        <row r="29">
          <cell r="P29">
            <v>7.0004206983592726E-3</v>
          </cell>
          <cell r="R29">
            <v>7.6322227304275979E-3</v>
          </cell>
          <cell r="S29">
            <v>3.3481312658139336E-3</v>
          </cell>
          <cell r="U29">
            <v>7.5899394072189577E-3</v>
          </cell>
          <cell r="V29">
            <v>3.8070260781286332E-3</v>
          </cell>
          <cell r="W29">
            <v>4.6052771458337761E-3</v>
          </cell>
          <cell r="X29">
            <v>4.6561042558344772E-3</v>
          </cell>
          <cell r="Z29">
            <v>7.5403853780243767E-3</v>
          </cell>
          <cell r="AA29">
            <v>5.6018342445647365E-3</v>
          </cell>
          <cell r="AB29">
            <v>1.1652995639230537E-3</v>
          </cell>
          <cell r="AC29">
            <v>3.6651234567901237E-3</v>
          </cell>
          <cell r="AD29">
            <v>4.0500045407549723E-3</v>
          </cell>
          <cell r="AE29">
            <v>4.8722272420389017E-3</v>
          </cell>
          <cell r="AF29">
            <v>7.5899394072189577E-3</v>
          </cell>
          <cell r="AG29">
            <v>4.4899021146286066E-3</v>
          </cell>
          <cell r="AH29">
            <v>7.5403853780243767E-3</v>
          </cell>
          <cell r="AI29">
            <v>2.7977118641345127E-3</v>
          </cell>
        </row>
        <row r="30">
          <cell r="P30">
            <v>5.2166596550273425E-3</v>
          </cell>
          <cell r="R30">
            <v>7.6325133971402188E-3</v>
          </cell>
          <cell r="S30">
            <v>3.3783103426080771E-3</v>
          </cell>
          <cell r="U30">
            <v>7.5678297102617113E-3</v>
          </cell>
          <cell r="V30">
            <v>3.2359721664093379E-3</v>
          </cell>
          <cell r="W30">
            <v>3.6399974485999192E-3</v>
          </cell>
          <cell r="X30">
            <v>4.5736065202524471E-3</v>
          </cell>
          <cell r="Z30">
            <v>7.5096249331304491E-3</v>
          </cell>
          <cell r="AA30">
            <v>3.8215822026422129E-3</v>
          </cell>
          <cell r="AB30">
            <v>1.347377620786031E-3</v>
          </cell>
          <cell r="AC30">
            <v>2.8935185185185188E-3</v>
          </cell>
          <cell r="AD30">
            <v>4.1745246473796679E-3</v>
          </cell>
          <cell r="AE30">
            <v>4.3552354417870712E-3</v>
          </cell>
          <cell r="AF30">
            <v>7.5678297102617113E-3</v>
          </cell>
          <cell r="AG30">
            <v>3.9332895122462259E-3</v>
          </cell>
          <cell r="AH30">
            <v>7.5096249331304491E-3</v>
          </cell>
          <cell r="AI30">
            <v>2.443050197790269E-3</v>
          </cell>
        </row>
        <row r="31">
          <cell r="P31">
            <v>5.4354228018510696E-3</v>
          </cell>
          <cell r="R31">
            <v>7.6335030480903275E-3</v>
          </cell>
          <cell r="S31">
            <v>4.646597477869786E-3</v>
          </cell>
          <cell r="U31">
            <v>7.6292183618849683E-3</v>
          </cell>
          <cell r="V31">
            <v>6.4719443328186757E-3</v>
          </cell>
          <cell r="W31">
            <v>7.547891905683243E-3</v>
          </cell>
          <cell r="X31">
            <v>4.5736065202524471E-3</v>
          </cell>
          <cell r="Z31">
            <v>7.6331208103751907E-3</v>
          </cell>
          <cell r="AA31">
            <v>3.8215822026422129E-3</v>
          </cell>
          <cell r="AB31">
            <v>1.347377620786031E-3</v>
          </cell>
          <cell r="AC31">
            <v>2.8935185185185188E-3</v>
          </cell>
          <cell r="AD31">
            <v>4.1745246473796679E-3</v>
          </cell>
          <cell r="AE31">
            <v>5.1819356320862257E-3</v>
          </cell>
          <cell r="AF31">
            <v>7.6292183618849683E-3</v>
          </cell>
          <cell r="AG31">
            <v>6.2136897730671386E-3</v>
          </cell>
          <cell r="AH31">
            <v>7.6331208103751907E-3</v>
          </cell>
          <cell r="AI31">
            <v>2.443050197790269E-3</v>
          </cell>
        </row>
        <row r="32">
          <cell r="P32">
            <v>6.0664703407656674E-3</v>
          </cell>
          <cell r="R32">
            <v>7.6330947305654579E-3</v>
          </cell>
          <cell r="S32">
            <v>4.9238088843311907E-3</v>
          </cell>
          <cell r="U32">
            <v>7.629589115710449E-3</v>
          </cell>
          <cell r="V32">
            <v>6.3238933186692296E-3</v>
          </cell>
          <cell r="W32">
            <v>7.1311632258201684E-3</v>
          </cell>
          <cell r="X32">
            <v>4.5736065202524471E-3</v>
          </cell>
          <cell r="Z32">
            <v>7.6258882301894707E-3</v>
          </cell>
          <cell r="AA32">
            <v>3.8215822026422129E-3</v>
          </cell>
          <cell r="AB32">
            <v>1.347377620786031E-3</v>
          </cell>
          <cell r="AC32">
            <v>2.8935185185185188E-3</v>
          </cell>
          <cell r="AD32">
            <v>4.1745246473796679E-3</v>
          </cell>
          <cell r="AE32">
            <v>5.5375359058849605E-3</v>
          </cell>
          <cell r="AF32">
            <v>7.629589115710449E-3</v>
          </cell>
          <cell r="AG32">
            <v>6.0038499307368785E-3</v>
          </cell>
          <cell r="AH32">
            <v>7.6258882301894707E-3</v>
          </cell>
          <cell r="AI32">
            <v>2.443050197790269E-3</v>
          </cell>
        </row>
        <row r="33">
          <cell r="P33">
            <v>3.1804795961295732E-3</v>
          </cell>
          <cell r="R33">
            <v>7.6326518098605136E-3</v>
          </cell>
          <cell r="S33">
            <v>3.4788715499160243E-3</v>
          </cell>
          <cell r="U33">
            <v>7.6027007740470049E-3</v>
          </cell>
          <cell r="V33">
            <v>4.7587825976607911E-3</v>
          </cell>
          <cell r="W33">
            <v>5.3026598345842276E-3</v>
          </cell>
          <cell r="X33">
            <v>4.5736065202524471E-3</v>
          </cell>
          <cell r="Z33">
            <v>7.6010238293057831E-3</v>
          </cell>
          <cell r="AA33">
            <v>3.8215822026422129E-3</v>
          </cell>
          <cell r="AB33">
            <v>1.347377620786031E-3</v>
          </cell>
          <cell r="AC33">
            <v>2.8935185185185188E-3</v>
          </cell>
          <cell r="AD33">
            <v>4.1745246473796679E-3</v>
          </cell>
          <cell r="AE33">
            <v>3.8047319897745379E-3</v>
          </cell>
          <cell r="AF33">
            <v>7.6027007740470049E-3</v>
          </cell>
          <cell r="AG33">
            <v>4.9282217546127742E-3</v>
          </cell>
          <cell r="AH33">
            <v>7.6010238293057831E-3</v>
          </cell>
          <cell r="AI33">
            <v>2.443050197790269E-3</v>
          </cell>
        </row>
        <row r="34">
          <cell r="P34">
            <v>4.1060159865376504E-3</v>
          </cell>
          <cell r="R34">
            <v>7.6328663495769701E-3</v>
          </cell>
          <cell r="S34">
            <v>2.8501824205486299E-3</v>
          </cell>
          <cell r="U34">
            <v>7.588677745131671E-3</v>
          </cell>
          <cell r="V34">
            <v>3.997377382035064E-3</v>
          </cell>
          <cell r="W34">
            <v>4.4181744732421915E-3</v>
          </cell>
          <cell r="X34">
            <v>4.5736065202524471E-3</v>
          </cell>
          <cell r="Z34">
            <v>7.574736610070818E-3</v>
          </cell>
          <cell r="AA34">
            <v>3.8215822026422129E-3</v>
          </cell>
          <cell r="AB34">
            <v>1.347377620786031E-3</v>
          </cell>
          <cell r="AC34">
            <v>2.8935185185185188E-3</v>
          </cell>
          <cell r="AD34">
            <v>4.1745246473796679E-3</v>
          </cell>
          <cell r="AE34">
            <v>3.7052008832481704E-3</v>
          </cell>
          <cell r="AF34">
            <v>7.588677745131671E-3</v>
          </cell>
          <cell r="AG34">
            <v>4.4071855276434013E-3</v>
          </cell>
          <cell r="AH34">
            <v>7.574736610070818E-3</v>
          </cell>
          <cell r="AI34">
            <v>2.443050197790269E-3</v>
          </cell>
        </row>
        <row r="35">
          <cell r="P35">
            <v>4.0555321834244828E-3</v>
          </cell>
          <cell r="R35">
            <v>7.6324095875999962E-3</v>
          </cell>
          <cell r="S35">
            <v>3.6668629151533501E-3</v>
          </cell>
          <cell r="U35">
            <v>7.6124864354994385E-3</v>
          </cell>
          <cell r="V35">
            <v>5.6470886825574721E-3</v>
          </cell>
          <cell r="W35">
            <v>6.7697148810409707E-3</v>
          </cell>
          <cell r="X35">
            <v>4.5736065202524471E-3</v>
          </cell>
          <cell r="Z35">
            <v>7.6299678368309315E-3</v>
          </cell>
          <cell r="AA35">
            <v>3.8215822026422129E-3</v>
          </cell>
          <cell r="AB35">
            <v>1.347377620786031E-3</v>
          </cell>
          <cell r="AC35">
            <v>2.8935185185185188E-3</v>
          </cell>
          <cell r="AD35">
            <v>4.1745246473796748E-3</v>
          </cell>
          <cell r="AE35">
            <v>4.1800183628793539E-3</v>
          </cell>
          <cell r="AF35">
            <v>7.6124864354994385E-3</v>
          </cell>
          <cell r="AG35">
            <v>5.7290579521125738E-3</v>
          </cell>
          <cell r="AH35">
            <v>7.6299678368309315E-3</v>
          </cell>
          <cell r="AI35">
            <v>2.4430501977902698E-3</v>
          </cell>
        </row>
        <row r="36">
          <cell r="P36">
            <v>1.5851914177534697E-2</v>
          </cell>
          <cell r="R36">
            <v>7.632997841661251E-3</v>
          </cell>
          <cell r="S36">
            <v>8.6519446239048149E-3</v>
          </cell>
          <cell r="U36">
            <v>7.6515734372431463E-3</v>
          </cell>
          <cell r="V36">
            <v>7.5083014318648037E-3</v>
          </cell>
          <cell r="W36">
            <v>8.4834052686411678E-3</v>
          </cell>
          <cell r="X36">
            <v>7.1391208678512385E-3</v>
          </cell>
          <cell r="Z36">
            <v>7.6466090730145132E-3</v>
          </cell>
          <cell r="AA36">
            <v>5.5283112841359927E-3</v>
          </cell>
          <cell r="AB36">
            <v>8.1935125588339722E-3</v>
          </cell>
          <cell r="AC36">
            <v>7.1373456790123462E-3</v>
          </cell>
          <cell r="AD36">
            <v>7.4509681913385055E-3</v>
          </cell>
          <cell r="AE36">
            <v>1.0710040811769423E-2</v>
          </cell>
          <cell r="AF36">
            <v>7.6515734372431463E-3</v>
          </cell>
          <cell r="AG36">
            <v>7.7976810138759723E-3</v>
          </cell>
          <cell r="AH36">
            <v>7.6466090730145132E-3</v>
          </cell>
          <cell r="AI36">
            <v>7.4332302313602303E-3</v>
          </cell>
        </row>
        <row r="37">
          <cell r="P37">
            <v>9.263777871266296E-3</v>
          </cell>
          <cell r="R37">
            <v>7.6330947305654579E-3</v>
          </cell>
          <cell r="S37">
            <v>5.5716847675336897E-3</v>
          </cell>
          <cell r="U37">
            <v>7.6296188161990323E-3</v>
          </cell>
          <cell r="V37">
            <v>5.7845646242676721E-3</v>
          </cell>
          <cell r="W37">
            <v>6.6931728786171398E-3</v>
          </cell>
          <cell r="X37">
            <v>7.1391208678512385E-3</v>
          </cell>
          <cell r="Z37">
            <v>7.6247803128887742E-3</v>
          </cell>
          <cell r="AA37">
            <v>5.5283112841359927E-3</v>
          </cell>
          <cell r="AB37">
            <v>8.1935125588339722E-3</v>
          </cell>
          <cell r="AC37">
            <v>7.1373456790123462E-3</v>
          </cell>
          <cell r="AD37">
            <v>7.4509681913385055E-3</v>
          </cell>
          <cell r="AE37">
            <v>6.8854536949566484E-3</v>
          </cell>
          <cell r="AF37">
            <v>7.6296188161990323E-3</v>
          </cell>
          <cell r="AG37">
            <v>6.7121838000243818E-3</v>
          </cell>
          <cell r="AH37">
            <v>7.6247803128887742E-3</v>
          </cell>
          <cell r="AI37">
            <v>7.4332302313602303E-3</v>
          </cell>
        </row>
        <row r="38">
          <cell r="P38">
            <v>9.0702566259991523E-3</v>
          </cell>
          <cell r="R38">
            <v>7.6330532067493684E-3</v>
          </cell>
          <cell r="S38">
            <v>5.29289692179628E-3</v>
          </cell>
          <cell r="U38">
            <v>7.6265415987587862E-3</v>
          </cell>
          <cell r="V38">
            <v>5.7316892620714417E-3</v>
          </cell>
          <cell r="W38">
            <v>6.5741075415134053E-3</v>
          </cell>
          <cell r="X38">
            <v>7.1391208678512385E-3</v>
          </cell>
          <cell r="Z38">
            <v>7.62550673958713E-3</v>
          </cell>
          <cell r="AA38">
            <v>5.5283112841359927E-3</v>
          </cell>
          <cell r="AB38">
            <v>8.1935125588339722E-3</v>
          </cell>
          <cell r="AC38">
            <v>7.1373456790123462E-3</v>
          </cell>
          <cell r="AD38">
            <v>7.4509681913385055E-3</v>
          </cell>
          <cell r="AE38">
            <v>6.6601204615524502E-3</v>
          </cell>
          <cell r="AF38">
            <v>7.6265415987587862E-3</v>
          </cell>
          <cell r="AG38">
            <v>6.6504402584323628E-3</v>
          </cell>
          <cell r="AH38">
            <v>7.62550673958713E-3</v>
          </cell>
          <cell r="AI38">
            <v>7.4332302313602303E-3</v>
          </cell>
        </row>
        <row r="39">
          <cell r="P39">
            <v>9.3479175431215762E-3</v>
          </cell>
          <cell r="R39">
            <v>7.6342573974159363E-3</v>
          </cell>
          <cell r="S39">
            <v>9.8727375454082354E-3</v>
          </cell>
          <cell r="U39">
            <v>7.6504237051833882E-3</v>
          </cell>
          <cell r="V39">
            <v>1.1241302002918714E-2</v>
          </cell>
          <cell r="W39">
            <v>1.1893776709969595E-2</v>
          </cell>
          <cell r="X39">
            <v>7.1391208678512385E-3</v>
          </cell>
          <cell r="Z39">
            <v>7.6445364272529244E-3</v>
          </cell>
          <cell r="AA39">
            <v>5.5283112841359927E-3</v>
          </cell>
          <cell r="AB39">
            <v>8.1935125588339722E-3</v>
          </cell>
          <cell r="AC39">
            <v>7.1373456790123462E-3</v>
          </cell>
          <cell r="AD39">
            <v>7.4509681913385055E-3</v>
          </cell>
          <cell r="AE39">
            <v>9.491443529923007E-3</v>
          </cell>
          <cell r="AF39">
            <v>7.6504237051833882E-3</v>
          </cell>
          <cell r="AG39">
            <v>9.9415622280718888E-3</v>
          </cell>
          <cell r="AH39">
            <v>7.6445364272529244E-3</v>
          </cell>
          <cell r="AI39">
            <v>7.4332302313602303E-3</v>
          </cell>
        </row>
        <row r="40">
          <cell r="P40">
            <v>1.5136726966764819E-2</v>
          </cell>
          <cell r="R40">
            <v>7.6341951116918032E-3</v>
          </cell>
          <cell r="S40">
            <v>9.7887088278460072E-3</v>
          </cell>
          <cell r="U40">
            <v>7.6518091026159226E-3</v>
          </cell>
          <cell r="V40">
            <v>8.4177576616399769E-3</v>
          </cell>
          <cell r="W40">
            <v>8.8576106138243352E-3</v>
          </cell>
          <cell r="X40">
            <v>7.1391208678512385E-3</v>
          </cell>
          <cell r="Z40">
            <v>7.65932965016493E-3</v>
          </cell>
          <cell r="AA40">
            <v>5.5283112841359927E-3</v>
          </cell>
          <cell r="AB40">
            <v>8.1935125588339722E-3</v>
          </cell>
          <cell r="AC40">
            <v>7.1373456790123462E-3</v>
          </cell>
          <cell r="AD40">
            <v>7.4509681913385055E-3</v>
          </cell>
          <cell r="AE40">
            <v>1.117766289790623E-2</v>
          </cell>
          <cell r="AF40">
            <v>7.6518091026159226E-3</v>
          </cell>
          <cell r="AG40">
            <v>8.1174944382660374E-3</v>
          </cell>
          <cell r="AH40">
            <v>7.65932965016493E-3</v>
          </cell>
          <cell r="AI40">
            <v>7.4332302313602303E-3</v>
          </cell>
        </row>
        <row r="41">
          <cell r="P41">
            <v>1.655027345393352E-2</v>
          </cell>
          <cell r="R41">
            <v>7.6335930163585197E-3</v>
          </cell>
          <cell r="S41">
            <v>9.2676195443428741E-3</v>
          </cell>
          <cell r="U41">
            <v>7.6509239835452015E-3</v>
          </cell>
          <cell r="V41">
            <v>8.0899304160233446E-3</v>
          </cell>
          <cell r="W41">
            <v>9.2403206259434861E-3</v>
          </cell>
          <cell r="X41">
            <v>7.1391208678512385E-3</v>
          </cell>
          <cell r="Z41">
            <v>7.6515864100044437E-3</v>
          </cell>
          <cell r="AA41">
            <v>5.5283112841359927E-3</v>
          </cell>
          <cell r="AB41">
            <v>8.1935125588339722E-3</v>
          </cell>
          <cell r="AC41">
            <v>7.1373456790123462E-3</v>
          </cell>
          <cell r="AD41">
            <v>7.4509681913385055E-3</v>
          </cell>
          <cell r="AE41">
            <v>1.1289013064421632E-2</v>
          </cell>
          <cell r="AF41">
            <v>7.6509239835452015E-3</v>
          </cell>
          <cell r="AG41">
            <v>8.2317308712127682E-3</v>
          </cell>
          <cell r="AH41">
            <v>7.6515864100044437E-3</v>
          </cell>
          <cell r="AI41">
            <v>7.4332302313602303E-3</v>
          </cell>
        </row>
        <row r="42">
          <cell r="P42">
            <v>5.5111485065208214E-3</v>
          </cell>
          <cell r="R42">
            <v>7.6323611431478935E-3</v>
          </cell>
          <cell r="S42">
            <v>4.4840032411621999E-3</v>
          </cell>
          <cell r="U42">
            <v>7.6276353803337287E-3</v>
          </cell>
          <cell r="V42">
            <v>6.1969924493982748E-3</v>
          </cell>
          <cell r="W42">
            <v>6.5996215423213484E-3</v>
          </cell>
          <cell r="X42">
            <v>4.9339637543228147E-3</v>
          </cell>
          <cell r="Z42">
            <v>7.6275198288769715E-3</v>
          </cell>
          <cell r="AA42">
            <v>5.6586357277815316E-3</v>
          </cell>
          <cell r="AB42">
            <v>1.4566244549038172E-3</v>
          </cell>
          <cell r="AC42">
            <v>5.2083333333333339E-3</v>
          </cell>
          <cell r="AD42">
            <v>5.3460059937965633E-3</v>
          </cell>
          <cell r="AE42">
            <v>5.1069826109683553E-3</v>
          </cell>
          <cell r="AF42">
            <v>7.6276353803337287E-3</v>
          </cell>
          <cell r="AG42">
            <v>5.8862692080742457E-3</v>
          </cell>
          <cell r="AH42">
            <v>7.6275198288769715E-3</v>
          </cell>
          <cell r="AI42">
            <v>3.4472446780921067E-3</v>
          </cell>
        </row>
        <row r="43">
          <cell r="P43">
            <v>5.1830037862852308E-3</v>
          </cell>
          <cell r="R43">
            <v>7.6333023496458997E-3</v>
          </cell>
          <cell r="S43">
            <v>4.8139432180966946E-3</v>
          </cell>
          <cell r="U43">
            <v>7.6317081442737675E-3</v>
          </cell>
          <cell r="V43">
            <v>5.9537657832956122E-3</v>
          </cell>
          <cell r="W43">
            <v>6.3487338677099053E-3</v>
          </cell>
          <cell r="X43">
            <v>4.9339637543228147E-3</v>
          </cell>
          <cell r="Z43">
            <v>7.6223641084642675E-3</v>
          </cell>
          <cell r="AA43">
            <v>5.6586357277815316E-3</v>
          </cell>
          <cell r="AB43">
            <v>1.4566244549038172E-3</v>
          </cell>
          <cell r="AC43">
            <v>5.2083333333333339E-3</v>
          </cell>
          <cell r="AD43">
            <v>5.3460059937965633E-3</v>
          </cell>
          <cell r="AE43">
            <v>5.2065973017081761E-3</v>
          </cell>
          <cell r="AF43">
            <v>7.6317081442737675E-3</v>
          </cell>
          <cell r="AG43">
            <v>5.7338643874605289E-3</v>
          </cell>
          <cell r="AH43">
            <v>7.6223641084642675E-3</v>
          </cell>
          <cell r="AI43">
            <v>3.4472446780921067E-3</v>
          </cell>
        </row>
        <row r="44">
          <cell r="P44">
            <v>5.7972233908287719E-3</v>
          </cell>
          <cell r="R44">
            <v>7.6337591116228736E-3</v>
          </cell>
          <cell r="S44">
            <v>4.4383658908271157E-3</v>
          </cell>
          <cell r="U44">
            <v>7.6319317935129817E-3</v>
          </cell>
          <cell r="V44">
            <v>5.9537657832956122E-3</v>
          </cell>
          <cell r="W44">
            <v>6.4125188697297629E-3</v>
          </cell>
          <cell r="X44">
            <v>4.9339637543228147E-3</v>
          </cell>
          <cell r="Z44">
            <v>7.6255114672176775E-3</v>
          </cell>
          <cell r="AA44">
            <v>5.6586357277815316E-3</v>
          </cell>
          <cell r="AB44">
            <v>1.4566244549038172E-3</v>
          </cell>
          <cell r="AC44">
            <v>5.2083333333333339E-3</v>
          </cell>
          <cell r="AD44">
            <v>5.3460059937965633E-3</v>
          </cell>
          <cell r="AE44">
            <v>5.1655624629071886E-3</v>
          </cell>
          <cell r="AF44">
            <v>7.6319317935129817E-3</v>
          </cell>
          <cell r="AG44">
            <v>5.7621485144038476E-3</v>
          </cell>
          <cell r="AH44">
            <v>7.6255114672176775E-3</v>
          </cell>
          <cell r="AI44">
            <v>3.4472446780921067E-3</v>
          </cell>
        </row>
        <row r="45">
          <cell r="P45">
            <v>6.1001262095077792E-3</v>
          </cell>
          <cell r="R45">
            <v>7.6341951116918032E-3</v>
          </cell>
          <cell r="S45">
            <v>3.9769149982952536E-3</v>
          </cell>
          <cell r="U45">
            <v>7.5935615663731207E-3</v>
          </cell>
          <cell r="V45">
            <v>4.3569298449694354E-3</v>
          </cell>
          <cell r="W45">
            <v>4.8051368188293331E-3</v>
          </cell>
          <cell r="X45">
            <v>4.9339637543228147E-3</v>
          </cell>
          <cell r="Z45">
            <v>7.5854579306281816E-3</v>
          </cell>
          <cell r="AA45">
            <v>5.6586357277815316E-3</v>
          </cell>
          <cell r="AB45">
            <v>1.4566244549038172E-3</v>
          </cell>
          <cell r="AC45">
            <v>5.2083333333333339E-3</v>
          </cell>
          <cell r="AD45">
            <v>5.3460059937965633E-3</v>
          </cell>
          <cell r="AE45">
            <v>4.9796063729986659E-3</v>
          </cell>
          <cell r="AF45">
            <v>7.5935615663731207E-3</v>
          </cell>
          <cell r="AG45">
            <v>4.7792040755712207E-3</v>
          </cell>
          <cell r="AH45">
            <v>7.5854579306281816E-3</v>
          </cell>
          <cell r="AI45">
            <v>3.4472446780921067E-3</v>
          </cell>
        </row>
        <row r="46">
          <cell r="P46">
            <v>5.1914177534707583E-3</v>
          </cell>
          <cell r="R46">
            <v>7.6336345401746084E-3</v>
          </cell>
          <cell r="S46">
            <v>4.328654919226918E-3</v>
          </cell>
          <cell r="U46">
            <v>7.6220014131587206E-3</v>
          </cell>
          <cell r="V46">
            <v>5.5730631754827486E-3</v>
          </cell>
          <cell r="W46">
            <v>6.1063508600344438E-3</v>
          </cell>
          <cell r="X46">
            <v>4.9339637543228147E-3</v>
          </cell>
          <cell r="Z46">
            <v>7.6217570164994796E-3</v>
          </cell>
          <cell r="AA46">
            <v>5.6586357277815316E-3</v>
          </cell>
          <cell r="AB46">
            <v>1.4566244549038172E-3</v>
          </cell>
          <cell r="AC46">
            <v>5.2083333333333339E-3</v>
          </cell>
          <cell r="AD46">
            <v>5.3460059937965633E-3</v>
          </cell>
          <cell r="AE46">
            <v>4.9179817315948386E-3</v>
          </cell>
          <cell r="AF46">
            <v>7.6220014131587206E-3</v>
          </cell>
          <cell r="AG46">
            <v>5.5619698717315749E-3</v>
          </cell>
          <cell r="AH46">
            <v>7.6217570164994796E-3</v>
          </cell>
          <cell r="AI46">
            <v>3.4472446780921067E-3</v>
          </cell>
        </row>
        <row r="47">
          <cell r="P47">
            <v>3.3403449726546047E-3</v>
          </cell>
          <cell r="R47">
            <v>7.6331154924735014E-3</v>
          </cell>
          <cell r="S47">
            <v>3.4325344775585805E-3</v>
          </cell>
          <cell r="U47">
            <v>7.6098113558815414E-3</v>
          </cell>
          <cell r="V47">
            <v>4.7799327425392833E-3</v>
          </cell>
          <cell r="W47">
            <v>5.2218654986924077E-3</v>
          </cell>
          <cell r="X47">
            <v>4.9339637543228147E-3</v>
          </cell>
          <cell r="Z47">
            <v>7.5887746202673518E-3</v>
          </cell>
          <cell r="AA47">
            <v>5.6586357277815316E-3</v>
          </cell>
          <cell r="AB47">
            <v>1.4566244549038172E-3</v>
          </cell>
          <cell r="AC47">
            <v>5.2083333333333339E-3</v>
          </cell>
          <cell r="AD47">
            <v>5.3460059937965633E-3</v>
          </cell>
          <cell r="AE47">
            <v>3.8249357275788798E-3</v>
          </cell>
          <cell r="AF47">
            <v>7.6098113558815414E-3</v>
          </cell>
          <cell r="AG47">
            <v>5.0355657419835064E-3</v>
          </cell>
          <cell r="AH47">
            <v>7.5887746202673518E-3</v>
          </cell>
          <cell r="AI47">
            <v>3.4472446780921067E-3</v>
          </cell>
        </row>
        <row r="48">
          <cell r="P48">
            <v>1.9520403870424894E-3</v>
          </cell>
          <cell r="R48">
            <v>7.6347072387568955E-3</v>
          </cell>
          <cell r="S48">
            <v>9.7628915566847149E-3</v>
          </cell>
          <cell r="U48">
            <v>7.6349235984232086E-3</v>
          </cell>
          <cell r="V48">
            <v>6.9689727374632471E-3</v>
          </cell>
          <cell r="W48">
            <v>7.3607892330916583E-3</v>
          </cell>
          <cell r="X48">
            <v>5.7214849166731304E-3</v>
          </cell>
          <cell r="Z48">
            <v>7.6371550142536465E-3</v>
          </cell>
          <cell r="AA48">
            <v>4.9387015560143294E-3</v>
          </cell>
          <cell r="AB48">
            <v>4.5337436158881311E-3</v>
          </cell>
          <cell r="AC48">
            <v>5.5941358024691372E-3</v>
          </cell>
          <cell r="AD48">
            <v>5.5080061754267618E-3</v>
          </cell>
          <cell r="AE48">
            <v>7.2068177739992648E-3</v>
          </cell>
          <cell r="AF48">
            <v>7.6349235984232086E-3</v>
          </cell>
          <cell r="AG48">
            <v>6.6594749598925772E-3</v>
          </cell>
          <cell r="AH48">
            <v>7.6371550142536465E-3</v>
          </cell>
          <cell r="AI48">
            <v>4.951918362780563E-3</v>
          </cell>
        </row>
        <row r="49">
          <cell r="P49">
            <v>3.8620109381573391E-3</v>
          </cell>
          <cell r="R49">
            <v>7.6325133971402188E-3</v>
          </cell>
          <cell r="S49">
            <v>3.2281341677476761E-3</v>
          </cell>
          <cell r="U49">
            <v>7.5802227921799911E-3</v>
          </cell>
          <cell r="V49">
            <v>4.4203802796049119E-3</v>
          </cell>
          <cell r="W49">
            <v>4.8263984861692854E-3</v>
          </cell>
          <cell r="X49">
            <v>5.7214849166731304E-3</v>
          </cell>
          <cell r="Z49">
            <v>7.5912875893669931E-3</v>
          </cell>
          <cell r="AA49">
            <v>4.9387015560143294E-3</v>
          </cell>
          <cell r="AB49">
            <v>4.5337436158881311E-3</v>
          </cell>
          <cell r="AC49">
            <v>5.5941358024691372E-3</v>
          </cell>
          <cell r="AD49">
            <v>5.5080061754267618E-3</v>
          </cell>
          <cell r="AE49">
            <v>3.8587351218098294E-3</v>
          </cell>
          <cell r="AF49">
            <v>7.5802227921799911E-3</v>
          </cell>
          <cell r="AG49">
            <v>5.1044307927895268E-3</v>
          </cell>
          <cell r="AH49">
            <v>7.5912875893669931E-3</v>
          </cell>
          <cell r="AI49">
            <v>4.951918362780563E-3</v>
          </cell>
        </row>
        <row r="50">
          <cell r="P50">
            <v>4.375262936474545E-3</v>
          </cell>
          <cell r="R50">
            <v>7.6331431750175606E-3</v>
          </cell>
          <cell r="S50">
            <v>7.2818571626083626E-3</v>
          </cell>
          <cell r="U50">
            <v>7.6266994318544556E-3</v>
          </cell>
          <cell r="V50">
            <v>6.7680463611175697E-3</v>
          </cell>
          <cell r="W50">
            <v>6.884527884676717E-3</v>
          </cell>
          <cell r="X50">
            <v>5.7214849166731304E-3</v>
          </cell>
          <cell r="Z50">
            <v>7.6336729976232282E-3</v>
          </cell>
          <cell r="AA50">
            <v>4.9387015560143294E-3</v>
          </cell>
          <cell r="AB50">
            <v>4.5337436158881311E-3</v>
          </cell>
          <cell r="AC50">
            <v>5.5941358024691372E-3</v>
          </cell>
          <cell r="AD50">
            <v>5.5080061754267618E-3</v>
          </cell>
          <cell r="AE50">
            <v>6.4450074960091374E-3</v>
          </cell>
          <cell r="AF50">
            <v>7.6266994318544556E-3</v>
          </cell>
          <cell r="AG50">
            <v>6.4142900944507263E-3</v>
          </cell>
          <cell r="AH50">
            <v>7.6336729976232282E-3</v>
          </cell>
          <cell r="AI50">
            <v>4.951918362780563E-3</v>
          </cell>
        </row>
        <row r="51">
          <cell r="P51">
            <v>7.0172486327303284E-3</v>
          </cell>
          <cell r="R51">
            <v>7.6331154924735014E-3</v>
          </cell>
          <cell r="S51">
            <v>9.0650874028647341E-3</v>
          </cell>
          <cell r="U51">
            <v>7.6439528674764473E-3</v>
          </cell>
          <cell r="V51">
            <v>7.5188765043040506E-3</v>
          </cell>
          <cell r="W51">
            <v>7.7860225798907145E-3</v>
          </cell>
          <cell r="X51">
            <v>5.7214849166731304E-3</v>
          </cell>
          <cell r="Z51">
            <v>7.6485140221329998E-3</v>
          </cell>
          <cell r="AA51">
            <v>4.9387015560143294E-3</v>
          </cell>
          <cell r="AB51">
            <v>4.5337436158881311E-3</v>
          </cell>
          <cell r="AC51">
            <v>5.5941358024691372E-3</v>
          </cell>
          <cell r="AD51">
            <v>5.5080061754267618E-3</v>
          </cell>
          <cell r="AE51">
            <v>8.3075385807852894E-3</v>
          </cell>
          <cell r="AF51">
            <v>7.6439528674764473E-3</v>
          </cell>
          <cell r="AG51">
            <v>6.94107945434542E-3</v>
          </cell>
          <cell r="AH51">
            <v>7.6485140221329998E-3</v>
          </cell>
          <cell r="AI51">
            <v>4.951918362780563E-3</v>
          </cell>
        </row>
        <row r="52">
          <cell r="P52">
            <v>2.6588136306268393E-3</v>
          </cell>
          <cell r="R52">
            <v>7.6329286353011032E-3</v>
          </cell>
          <cell r="S52">
            <v>4.8633068035143076E-3</v>
          </cell>
          <cell r="U52">
            <v>7.6086909445937352E-3</v>
          </cell>
          <cell r="V52">
            <v>5.4567373786510408E-3</v>
          </cell>
          <cell r="W52">
            <v>5.6045755108115576E-3</v>
          </cell>
          <cell r="X52">
            <v>5.7214849166731304E-3</v>
          </cell>
          <cell r="Z52">
            <v>7.6362400776646151E-3</v>
          </cell>
          <cell r="AA52">
            <v>4.9387015560143294E-3</v>
          </cell>
          <cell r="AB52">
            <v>4.5337436158881311E-3</v>
          </cell>
          <cell r="AC52">
            <v>5.5941358024691372E-3</v>
          </cell>
          <cell r="AD52">
            <v>5.5080061754267618E-3</v>
          </cell>
          <cell r="AE52">
            <v>4.4789210348267459E-3</v>
          </cell>
          <cell r="AF52">
            <v>7.6086909445937352E-3</v>
          </cell>
          <cell r="AG52">
            <v>5.624848632268727E-3</v>
          </cell>
          <cell r="AH52">
            <v>7.6362400776646151E-3</v>
          </cell>
          <cell r="AI52">
            <v>4.951918362780563E-3</v>
          </cell>
        </row>
        <row r="53">
          <cell r="P53">
            <v>6.7395877156079054E-3</v>
          </cell>
          <cell r="R53">
            <v>7.6337245084428006E-3</v>
          </cell>
          <cell r="S53">
            <v>6.2854540436716741E-3</v>
          </cell>
          <cell r="U53">
            <v>7.6303496702164724E-3</v>
          </cell>
          <cell r="V53">
            <v>6.8103466508745549E-3</v>
          </cell>
          <cell r="W53">
            <v>6.7314438798290561E-3</v>
          </cell>
          <cell r="X53">
            <v>5.7214849166731304E-3</v>
          </cell>
          <cell r="Z53">
            <v>7.643101731459467E-3</v>
          </cell>
          <cell r="AA53">
            <v>4.9387015560143294E-3</v>
          </cell>
          <cell r="AB53">
            <v>4.5337436158881311E-3</v>
          </cell>
          <cell r="AC53">
            <v>5.5941358024691372E-3</v>
          </cell>
          <cell r="AD53">
            <v>5.5080061754267618E-3</v>
          </cell>
          <cell r="AE53">
            <v>6.5565211917296556E-3</v>
          </cell>
          <cell r="AF53">
            <v>7.6303496702164724E-3</v>
          </cell>
          <cell r="AG53">
            <v>6.3535653934916891E-3</v>
          </cell>
          <cell r="AH53">
            <v>7.643101731459467E-3</v>
          </cell>
          <cell r="AI53">
            <v>4.951918362780563E-3</v>
          </cell>
        </row>
        <row r="54">
          <cell r="P54">
            <v>1.8931426167437936E-3</v>
          </cell>
          <cell r="R54">
            <v>7.6338906037071545E-3</v>
          </cell>
          <cell r="S54">
            <v>3.1643087314648004E-3</v>
          </cell>
          <cell r="U54">
            <v>7.5944217716314988E-3</v>
          </cell>
          <cell r="V54">
            <v>4.2723292654554658E-3</v>
          </cell>
          <cell r="W54">
            <v>4.4564454744541069E-3</v>
          </cell>
          <cell r="X54">
            <v>5.7214849166731304E-3</v>
          </cell>
          <cell r="Z54">
            <v>7.6117717646721587E-3</v>
          </cell>
          <cell r="AA54">
            <v>4.9387015560143294E-3</v>
          </cell>
          <cell r="AB54">
            <v>4.5337436158881311E-3</v>
          </cell>
          <cell r="AC54">
            <v>5.5941358024691372E-3</v>
          </cell>
          <cell r="AD54">
            <v>5.5080061754267618E-3</v>
          </cell>
          <cell r="AE54">
            <v>3.2299170842727339E-3</v>
          </cell>
          <cell r="AF54">
            <v>7.5944217716314988E-3</v>
          </cell>
          <cell r="AG54">
            <v>4.9153326435510333E-3</v>
          </cell>
          <cell r="AH54">
            <v>7.6117717646721587E-3</v>
          </cell>
          <cell r="AI54">
            <v>4.951918362780563E-3</v>
          </cell>
        </row>
        <row r="55">
          <cell r="P55">
            <v>2.0109381573411855E-3</v>
          </cell>
          <cell r="R55">
            <v>7.6210597445357997E-3</v>
          </cell>
          <cell r="S55">
            <v>3.1428223901634857E-3</v>
          </cell>
          <cell r="U55">
            <v>7.6075444426314306E-3</v>
          </cell>
          <cell r="V55">
            <v>3.8070260781286332E-3</v>
          </cell>
          <cell r="W55">
            <v>4.2268194671826161E-3</v>
          </cell>
          <cell r="X55">
            <v>5.7214849166731304E-3</v>
          </cell>
          <cell r="Z55">
            <v>7.6442365262153174E-3</v>
          </cell>
          <cell r="AA55">
            <v>4.9387015560143294E-3</v>
          </cell>
          <cell r="AB55">
            <v>4.5337436158881311E-3</v>
          </cell>
          <cell r="AC55">
            <v>5.5941358024691372E-3</v>
          </cell>
          <cell r="AD55">
            <v>5.5080061754267618E-3</v>
          </cell>
          <cell r="AE55">
            <v>3.251080855754027E-3</v>
          </cell>
          <cell r="AF55">
            <v>7.6075444426314306E-3</v>
          </cell>
          <cell r="AG55">
            <v>4.7347805458008889E-3</v>
          </cell>
          <cell r="AH55">
            <v>7.6442365262153174E-3</v>
          </cell>
          <cell r="AI55">
            <v>4.951918362780563E-3</v>
          </cell>
        </row>
        <row r="56">
          <cell r="P56">
            <v>3.8283550694152269E-3</v>
          </cell>
          <cell r="R56">
            <v>7.6361121278678903E-3</v>
          </cell>
          <cell r="S56">
            <v>5.7803836565958585E-3</v>
          </cell>
          <cell r="U56">
            <v>7.6143443475791099E-3</v>
          </cell>
          <cell r="V56">
            <v>7.0852985342949558E-3</v>
          </cell>
          <cell r="W56">
            <v>7.4373312355154901E-3</v>
          </cell>
          <cell r="X56">
            <v>5.1228858047466892E-3</v>
          </cell>
          <cell r="Z56">
            <v>7.6380108379510833E-3</v>
          </cell>
          <cell r="AA56">
            <v>5.1818701067418782E-3</v>
          </cell>
          <cell r="AB56">
            <v>2.2304561965714701E-3</v>
          </cell>
          <cell r="AC56">
            <v>4.436728395061729E-3</v>
          </cell>
          <cell r="AD56">
            <v>4.6980052672757674E-3</v>
          </cell>
          <cell r="AE56">
            <v>5.3803479275688721E-3</v>
          </cell>
          <cell r="AF56">
            <v>7.6143443475791099E-3</v>
          </cell>
          <cell r="AG56">
            <v>6.4812182788601749E-3</v>
          </cell>
          <cell r="AH56">
            <v>7.6380108379510833E-3</v>
          </cell>
          <cell r="AI56">
            <v>3.5026876219161345E-3</v>
          </cell>
        </row>
        <row r="57">
          <cell r="P57">
            <v>6.0075725704669715E-3</v>
          </cell>
          <cell r="R57">
            <v>7.6323265399678205E-3</v>
          </cell>
          <cell r="S57">
            <v>4.1891486672755215E-3</v>
          </cell>
          <cell r="U57">
            <v>7.6189100536519627E-3</v>
          </cell>
          <cell r="V57">
            <v>5.477887523529533E-3</v>
          </cell>
          <cell r="W57">
            <v>5.8129398507430954E-3</v>
          </cell>
          <cell r="X57">
            <v>5.1228858047466892E-3</v>
          </cell>
          <cell r="Z57">
            <v>7.5752324159471321E-3</v>
          </cell>
          <cell r="AA57">
            <v>5.1818701067418782E-3</v>
          </cell>
          <cell r="AB57">
            <v>2.2304561965714701E-3</v>
          </cell>
          <cell r="AC57">
            <v>4.436728395061729E-3</v>
          </cell>
          <cell r="AD57">
            <v>4.6980052672757674E-3</v>
          </cell>
          <cell r="AE57">
            <v>5.078993625502186E-3</v>
          </cell>
          <cell r="AF57">
            <v>7.6189100536519627E-3</v>
          </cell>
          <cell r="AG57">
            <v>5.4889421052497639E-3</v>
          </cell>
          <cell r="AH57">
            <v>7.5752324159471321E-3</v>
          </cell>
          <cell r="AI57">
            <v>3.5026876219161345E-3</v>
          </cell>
        </row>
        <row r="58">
          <cell r="P58">
            <v>5.6121161127471574E-3</v>
          </cell>
          <cell r="R58">
            <v>7.6325064765042031E-3</v>
          </cell>
          <cell r="S58">
            <v>3.7120445366089711E-3</v>
          </cell>
          <cell r="U58">
            <v>7.6055848446323999E-3</v>
          </cell>
          <cell r="V58">
            <v>4.5367060764366206E-3</v>
          </cell>
          <cell r="W58">
            <v>4.9454638232730207E-3</v>
          </cell>
          <cell r="X58">
            <v>5.1228858047466892E-3</v>
          </cell>
          <cell r="Z58">
            <v>7.6025543851043322E-3</v>
          </cell>
          <cell r="AA58">
            <v>5.1818701067418782E-3</v>
          </cell>
          <cell r="AB58">
            <v>2.2304561965714701E-3</v>
          </cell>
          <cell r="AC58">
            <v>4.436728395061729E-3</v>
          </cell>
          <cell r="AD58">
            <v>4.6980052672757674E-3</v>
          </cell>
          <cell r="AE58">
            <v>4.67411220343995E-3</v>
          </cell>
          <cell r="AF58">
            <v>7.6055848446323999E-3</v>
          </cell>
          <cell r="AG58">
            <v>4.9450301963860025E-3</v>
          </cell>
          <cell r="AH58">
            <v>7.6025543851043322E-3</v>
          </cell>
          <cell r="AI58">
            <v>3.5026876219161345E-3</v>
          </cell>
        </row>
        <row r="59">
          <cell r="P59">
            <v>7.1013883045856077E-3</v>
          </cell>
          <cell r="R59">
            <v>7.6334753655462693E-3</v>
          </cell>
          <cell r="S59">
            <v>8.2289031502618057E-3</v>
          </cell>
          <cell r="U59">
            <v>7.6421318985152656E-3</v>
          </cell>
          <cell r="V59">
            <v>7.8255536050421907E-3</v>
          </cell>
          <cell r="W59">
            <v>7.5436395722152539E-3</v>
          </cell>
          <cell r="X59">
            <v>5.1228858047466892E-3</v>
          </cell>
          <cell r="Z59">
            <v>7.6446655440961207E-3</v>
          </cell>
          <cell r="AA59">
            <v>5.1818701067418782E-3</v>
          </cell>
          <cell r="AB59">
            <v>2.2304561965714701E-3</v>
          </cell>
          <cell r="AC59">
            <v>4.436728395061729E-3</v>
          </cell>
          <cell r="AD59">
            <v>4.6980052672757674E-3</v>
          </cell>
          <cell r="AE59">
            <v>7.8311059180873922E-3</v>
          </cell>
          <cell r="AF59">
            <v>7.6421318985152656E-3</v>
          </cell>
          <cell r="AG59">
            <v>6.6536095552685946E-3</v>
          </cell>
          <cell r="AH59">
            <v>7.6446655440961207E-3</v>
          </cell>
          <cell r="AI59">
            <v>3.5026876219161345E-3</v>
          </cell>
        </row>
        <row r="60">
          <cell r="P60">
            <v>4.9642406394615037E-3</v>
          </cell>
          <cell r="R60">
            <v>7.634527302220512E-3</v>
          </cell>
          <cell r="S60">
            <v>2.965424997278001E-3</v>
          </cell>
          <cell r="U60">
            <v>7.5680540415317896E-3</v>
          </cell>
          <cell r="V60">
            <v>3.5320741947082314E-3</v>
          </cell>
          <cell r="W60">
            <v>3.9163991240193062E-3</v>
          </cell>
          <cell r="X60">
            <v>5.1228858047466892E-3</v>
          </cell>
          <cell r="Z60">
            <v>7.5749330518749703E-3</v>
          </cell>
          <cell r="AA60">
            <v>5.1818701067418782E-3</v>
          </cell>
          <cell r="AB60">
            <v>2.2304561965714701E-3</v>
          </cell>
          <cell r="AC60">
            <v>4.436728395061729E-3</v>
          </cell>
          <cell r="AD60">
            <v>4.6980052672757674E-3</v>
          </cell>
          <cell r="AE60">
            <v>4.0319799204273027E-3</v>
          </cell>
          <cell r="AF60">
            <v>7.5680540415317896E-3</v>
          </cell>
          <cell r="AG60">
            <v>4.3187293603751103E-3</v>
          </cell>
          <cell r="AH60">
            <v>7.5749330518749703E-3</v>
          </cell>
          <cell r="AI60">
            <v>3.5026876219161345E-3</v>
          </cell>
        </row>
        <row r="61">
          <cell r="P61">
            <v>4.6445098864114397E-3</v>
          </cell>
          <cell r="R61">
            <v>7.6356138420748286E-3</v>
          </cell>
          <cell r="S61">
            <v>3.4613407226292453E-3</v>
          </cell>
          <cell r="U61">
            <v>7.5666707586866449E-3</v>
          </cell>
          <cell r="V61">
            <v>3.7647257883716479E-3</v>
          </cell>
          <cell r="W61">
            <v>3.8100907873195419E-3</v>
          </cell>
          <cell r="X61">
            <v>5.1228858047466892E-3</v>
          </cell>
          <cell r="Z61">
            <v>7.4997310588140707E-3</v>
          </cell>
          <cell r="AA61">
            <v>5.1818701067418782E-3</v>
          </cell>
          <cell r="AB61">
            <v>2.2304561965714701E-3</v>
          </cell>
          <cell r="AC61">
            <v>4.436728395061729E-3</v>
          </cell>
          <cell r="AD61">
            <v>4.6980052672757674E-3</v>
          </cell>
          <cell r="AE61">
            <v>4.2337187837084619E-3</v>
          </cell>
          <cell r="AF61">
            <v>7.5666707586866449E-3</v>
          </cell>
          <cell r="AG61">
            <v>4.3109537691800107E-3</v>
          </cell>
          <cell r="AH61">
            <v>7.4997310588140707E-3</v>
          </cell>
          <cell r="AI61">
            <v>3.5026876219161345E-3</v>
          </cell>
        </row>
        <row r="62">
          <cell r="P62">
            <v>4.0807740849810661E-3</v>
          </cell>
          <cell r="R62">
            <v>7.6335445719064171E-3</v>
          </cell>
          <cell r="S62">
            <v>3.8414552294667231E-3</v>
          </cell>
          <cell r="U62">
            <v>7.5961626941940981E-3</v>
          </cell>
          <cell r="V62">
            <v>4.2617541930162197E-3</v>
          </cell>
          <cell r="W62">
            <v>4.5797631450258322E-3</v>
          </cell>
          <cell r="X62">
            <v>5.1228858047466892E-3</v>
          </cell>
          <cell r="Z62">
            <v>7.6063782210965521E-3</v>
          </cell>
          <cell r="AA62">
            <v>5.1818701067418782E-3</v>
          </cell>
          <cell r="AB62">
            <v>2.2304561965714701E-3</v>
          </cell>
          <cell r="AC62">
            <v>4.436728395061729E-3</v>
          </cell>
          <cell r="AD62">
            <v>4.6980052672757674E-3</v>
          </cell>
          <cell r="AE62">
            <v>4.2924598203649949E-3</v>
          </cell>
          <cell r="AF62">
            <v>7.5961626941940981E-3</v>
          </cell>
          <cell r="AG62">
            <v>4.7363460444956162E-3</v>
          </cell>
          <cell r="AH62">
            <v>7.6063782210965521E-3</v>
          </cell>
          <cell r="AI62">
            <v>3.5026876219161345E-3</v>
          </cell>
        </row>
        <row r="63">
          <cell r="P63">
            <v>9.0702566259991523E-3</v>
          </cell>
          <cell r="R63">
            <v>7.6340013338833902E-3</v>
          </cell>
          <cell r="S63">
            <v>1.0623304426505371E-2</v>
          </cell>
          <cell r="U63">
            <v>7.6562742785103079E-3</v>
          </cell>
          <cell r="V63">
            <v>1.1473953596582129E-2</v>
          </cell>
          <cell r="W63">
            <v>1.0516020666340652E-2</v>
          </cell>
          <cell r="X63">
            <v>8.8930602751950052E-3</v>
          </cell>
          <cell r="Z63">
            <v>7.6550072300838766E-3</v>
          </cell>
          <cell r="AA63">
            <v>8.4019118849237243E-3</v>
          </cell>
          <cell r="AB63">
            <v>1.1607476125014794E-2</v>
          </cell>
          <cell r="AC63">
            <v>8.873456790123458E-3</v>
          </cell>
          <cell r="AD63">
            <v>8.2620092631401423E-3</v>
          </cell>
          <cell r="AE63">
            <v>9.8584597770913079E-3</v>
          </cell>
          <cell r="AF63">
            <v>7.6562742785103079E-3</v>
          </cell>
          <cell r="AG63">
            <v>1.0049414989048924E-2</v>
          </cell>
          <cell r="AH63">
            <v>7.6550072300838766E-3</v>
          </cell>
          <cell r="AI63">
            <v>1.0069312852671299E-2</v>
          </cell>
        </row>
        <row r="64">
          <cell r="P64">
            <v>1.2536811106436677E-2</v>
          </cell>
          <cell r="R64">
            <v>7.6339252068872284E-3</v>
          </cell>
          <cell r="S64">
            <v>9.9464900860507452E-3</v>
          </cell>
          <cell r="U64">
            <v>7.6521936236883716E-3</v>
          </cell>
          <cell r="V64">
            <v>9.792517078741984E-3</v>
          </cell>
          <cell r="W64">
            <v>9.9632173155018815E-3</v>
          </cell>
          <cell r="X64">
            <v>8.8930602751950052E-3</v>
          </cell>
          <cell r="Z64">
            <v>7.6517822739870841E-3</v>
          </cell>
          <cell r="AA64">
            <v>8.4019118849237243E-3</v>
          </cell>
          <cell r="AB64">
            <v>1.1607476125014794E-2</v>
          </cell>
          <cell r="AC64">
            <v>8.873456790123458E-3</v>
          </cell>
          <cell r="AD64">
            <v>8.2620092631401423E-3</v>
          </cell>
          <cell r="AE64">
            <v>1.0492329904250173E-2</v>
          </cell>
          <cell r="AF64">
            <v>7.6521936236883716E-3</v>
          </cell>
          <cell r="AG64">
            <v>9.5197870416026485E-3</v>
          </cell>
          <cell r="AH64">
            <v>7.6517822739870841E-3</v>
          </cell>
          <cell r="AI64">
            <v>1.0069312852671299E-2</v>
          </cell>
        </row>
        <row r="65">
          <cell r="P65">
            <v>1.115692048801009E-2</v>
          </cell>
          <cell r="R65">
            <v>7.6331224131095162E-3</v>
          </cell>
          <cell r="S65">
            <v>1.0465917442565316E-2</v>
          </cell>
          <cell r="U65">
            <v>7.6494410984647302E-3</v>
          </cell>
          <cell r="V65">
            <v>9.1685878048264578E-3</v>
          </cell>
          <cell r="W65">
            <v>8.73004060978462E-3</v>
          </cell>
          <cell r="X65">
            <v>8.8930602751950052E-3</v>
          </cell>
          <cell r="Z65">
            <v>7.6554748802938142E-3</v>
          </cell>
          <cell r="AA65">
            <v>8.4019118849237243E-3</v>
          </cell>
          <cell r="AB65">
            <v>1.1607476125014794E-2</v>
          </cell>
          <cell r="AC65">
            <v>8.873456790123458E-3</v>
          </cell>
          <cell r="AD65">
            <v>8.2620092631401423E-3</v>
          </cell>
          <cell r="AE65">
            <v>1.0389938853253167E-2</v>
          </cell>
          <cell r="AF65">
            <v>7.6494410984647302E-3</v>
          </cell>
          <cell r="AG65">
            <v>8.8673918327174788E-3</v>
          </cell>
          <cell r="AH65">
            <v>7.6554748802938142E-3</v>
          </cell>
          <cell r="AI65">
            <v>1.0069312852671299E-2</v>
          </cell>
        </row>
        <row r="66">
          <cell r="P66">
            <v>9.6171644930584717E-3</v>
          </cell>
          <cell r="R66">
            <v>7.6330255242053101E-3</v>
          </cell>
          <cell r="S66">
            <v>1.065968548323707E-2</v>
          </cell>
          <cell r="U66">
            <v>7.6482079634042676E-3</v>
          </cell>
          <cell r="V66">
            <v>8.5975338931071638E-3</v>
          </cell>
          <cell r="W66">
            <v>8.4068632662173369E-3</v>
          </cell>
          <cell r="X66">
            <v>8.8930602751950052E-3</v>
          </cell>
          <cell r="Z66">
            <v>7.65779049708268E-3</v>
          </cell>
          <cell r="AA66">
            <v>8.4019118849237243E-3</v>
          </cell>
          <cell r="AB66">
            <v>1.1607476125014794E-2</v>
          </cell>
          <cell r="AC66">
            <v>8.873456790123458E-3</v>
          </cell>
          <cell r="AD66">
            <v>8.2620092631401423E-3</v>
          </cell>
          <cell r="AE66">
            <v>1.0044263190280315E-2</v>
          </cell>
          <cell r="AF66">
            <v>7.6482079634042676E-3</v>
          </cell>
          <cell r="AG66">
            <v>8.6274633395214823E-3</v>
          </cell>
          <cell r="AH66">
            <v>7.65779049708268E-3</v>
          </cell>
          <cell r="AI66">
            <v>1.0069312852671299E-2</v>
          </cell>
        </row>
        <row r="67">
          <cell r="P67">
            <v>1.1350441733277233E-2</v>
          </cell>
          <cell r="R67">
            <v>7.6328040638528379E-3</v>
          </cell>
          <cell r="S67">
            <v>9.9004201119355876E-3</v>
          </cell>
          <cell r="U67">
            <v>7.6471891527440999E-3</v>
          </cell>
          <cell r="V67">
            <v>7.4660011421078185E-3</v>
          </cell>
          <cell r="W67">
            <v>7.3692939000276391E-3</v>
          </cell>
          <cell r="X67">
            <v>8.8930602751950052E-3</v>
          </cell>
          <cell r="Z67">
            <v>7.6551795434624892E-3</v>
          </cell>
          <cell r="AA67">
            <v>8.4019118849237243E-3</v>
          </cell>
          <cell r="AB67">
            <v>1.1607476125014794E-2</v>
          </cell>
          <cell r="AC67">
            <v>8.873456790123458E-3</v>
          </cell>
          <cell r="AD67">
            <v>8.2620092631401423E-3</v>
          </cell>
          <cell r="AE67">
            <v>1.0108664993529807E-2</v>
          </cell>
          <cell r="AF67">
            <v>7.6471891527440999E-3</v>
          </cell>
          <cell r="AG67">
            <v>7.9759196754700321E-3</v>
          </cell>
          <cell r="AH67">
            <v>7.6551795434624892E-3</v>
          </cell>
          <cell r="AI67">
            <v>1.0069312852671299E-2</v>
          </cell>
        </row>
        <row r="68">
          <cell r="P68">
            <v>3.4581405132519966E-3</v>
          </cell>
          <cell r="R68">
            <v>7.6312607620215482E-3</v>
          </cell>
          <cell r="S68">
            <v>6.1856521877733401E-3</v>
          </cell>
          <cell r="U68">
            <v>7.6422144572925749E-3</v>
          </cell>
          <cell r="V68">
            <v>8.2908567923690221E-3</v>
          </cell>
          <cell r="W68">
            <v>8.2367699274977137E-3</v>
          </cell>
          <cell r="X68">
            <v>8.8930602751950052E-3</v>
          </cell>
          <cell r="Z68">
            <v>7.6571064322886687E-3</v>
          </cell>
          <cell r="AA68">
            <v>8.4019118849237243E-3</v>
          </cell>
          <cell r="AB68">
            <v>1.1607476125014794E-2</v>
          </cell>
          <cell r="AC68">
            <v>8.873456790123458E-3</v>
          </cell>
          <cell r="AD68">
            <v>8.2620092631401423E-3</v>
          </cell>
          <cell r="AE68">
            <v>5.511959542841758E-3</v>
          </cell>
          <cell r="AF68">
            <v>7.6422144572925749E-3</v>
          </cell>
          <cell r="AG68">
            <v>8.5001492741452449E-3</v>
          </cell>
          <cell r="AH68">
            <v>7.6571064322886687E-3</v>
          </cell>
          <cell r="AI68">
            <v>1.0069312852671299E-2</v>
          </cell>
        </row>
        <row r="69">
          <cell r="P69">
            <v>6.6891039124947378E-3</v>
          </cell>
          <cell r="R69">
            <v>7.6334269210941658E-3</v>
          </cell>
          <cell r="S69">
            <v>1.1091782190801772E-2</v>
          </cell>
          <cell r="U69">
            <v>7.6495383266422896E-3</v>
          </cell>
          <cell r="V69">
            <v>8.4706330238362073E-3</v>
          </cell>
          <cell r="W69">
            <v>7.9135925839304306E-3</v>
          </cell>
          <cell r="X69">
            <v>8.8930602751950052E-3</v>
          </cell>
          <cell r="Z69">
            <v>7.6597645746656288E-3</v>
          </cell>
          <cell r="AA69">
            <v>8.4019118849237243E-3</v>
          </cell>
          <cell r="AB69">
            <v>1.1607476125014794E-2</v>
          </cell>
          <cell r="AC69">
            <v>8.873456790123458E-3</v>
          </cell>
          <cell r="AD69">
            <v>8.2620092631401423E-3</v>
          </cell>
          <cell r="AE69">
            <v>9.4251431803389005E-3</v>
          </cell>
          <cell r="AF69">
            <v>7.6495383266422896E-3</v>
          </cell>
          <cell r="AG69">
            <v>8.3872611467117018E-3</v>
          </cell>
          <cell r="AH69">
            <v>7.6597645746656288E-3</v>
          </cell>
          <cell r="AI69">
            <v>1.0069312852671299E-2</v>
          </cell>
        </row>
        <row r="70">
          <cell r="P70">
            <v>1.1148506520824563E-2</v>
          </cell>
          <cell r="R70">
            <v>7.6331985401056788E-3</v>
          </cell>
          <cell r="S70">
            <v>1.01441772267891E-2</v>
          </cell>
          <cell r="U70">
            <v>7.6468026655409603E-3</v>
          </cell>
          <cell r="V70">
            <v>9.6550411370317831E-3</v>
          </cell>
          <cell r="W70">
            <v>9.6442923054025891E-3</v>
          </cell>
          <cell r="X70">
            <v>1.0162508311677004E-2</v>
          </cell>
          <cell r="Z70">
            <v>7.6580510770746027E-3</v>
          </cell>
          <cell r="AA70">
            <v>9.8544961787163099E-3</v>
          </cell>
          <cell r="AB70">
            <v>1.8453611063062734E-2</v>
          </cell>
          <cell r="AC70">
            <v>1.0416666666666668E-2</v>
          </cell>
          <cell r="AD70">
            <v>9.2340103529213353E-3</v>
          </cell>
          <cell r="AE70">
            <v>1.0194378146331397E-2</v>
          </cell>
          <cell r="AF70">
            <v>7.6468026655409603E-3</v>
          </cell>
          <cell r="AG70">
            <v>9.8468528649597528E-3</v>
          </cell>
          <cell r="AH70">
            <v>7.6580510770746027E-3</v>
          </cell>
          <cell r="AI70">
            <v>1.4144509796954913E-2</v>
          </cell>
        </row>
        <row r="71">
          <cell r="P71">
            <v>1.4211190576356744E-2</v>
          </cell>
          <cell r="R71">
            <v>7.6338698417991102E-3</v>
          </cell>
          <cell r="S71">
            <v>1.0818541767090125E-2</v>
          </cell>
          <cell r="U71">
            <v>7.6523579594857784E-3</v>
          </cell>
          <cell r="V71">
            <v>8.8407605592098239E-3</v>
          </cell>
          <cell r="W71">
            <v>8.8491059468883554E-3</v>
          </cell>
          <cell r="X71">
            <v>1.0162508311677004E-2</v>
          </cell>
          <cell r="Z71">
            <v>7.6608562662713563E-3</v>
          </cell>
          <cell r="AA71">
            <v>9.8544961787163099E-3</v>
          </cell>
          <cell r="AB71">
            <v>1.8453611063062734E-2</v>
          </cell>
          <cell r="AC71">
            <v>1.0416666666666668E-2</v>
          </cell>
          <cell r="AD71">
            <v>9.2340103529213353E-3</v>
          </cell>
          <cell r="AE71">
            <v>1.1517869217341008E-2</v>
          </cell>
          <cell r="AF71">
            <v>7.6523579594857784E-3</v>
          </cell>
          <cell r="AG71">
            <v>9.3564679110798681E-3</v>
          </cell>
          <cell r="AH71">
            <v>7.6608562662713563E-3</v>
          </cell>
          <cell r="AI71">
            <v>1.4144509796954913E-2</v>
          </cell>
        </row>
        <row r="72">
          <cell r="P72">
            <v>1.2696676482961709E-2</v>
          </cell>
          <cell r="R72">
            <v>7.6339874926113615E-3</v>
          </cell>
          <cell r="S72">
            <v>1.1706589828717426E-2</v>
          </cell>
          <cell r="U72">
            <v>7.6549234150093031E-3</v>
          </cell>
          <cell r="V72">
            <v>1.1939256783908961E-2</v>
          </cell>
          <cell r="W72">
            <v>1.1481300363574511E-2</v>
          </cell>
          <cell r="X72">
            <v>1.0162508311677004E-2</v>
          </cell>
          <cell r="Z72">
            <v>7.6629079645440098E-3</v>
          </cell>
          <cell r="AA72">
            <v>9.8544961787163099E-3</v>
          </cell>
          <cell r="AB72">
            <v>1.8453611063062734E-2</v>
          </cell>
          <cell r="AC72">
            <v>1.0416666666666668E-2</v>
          </cell>
          <cell r="AD72">
            <v>9.2340103529213353E-3</v>
          </cell>
          <cell r="AE72">
            <v>1.1596355591380104E-2</v>
          </cell>
          <cell r="AF72">
            <v>7.6549234150093031E-3</v>
          </cell>
          <cell r="AG72">
            <v>1.1047924720993391E-2</v>
          </cell>
          <cell r="AH72">
            <v>7.6629079645440098E-3</v>
          </cell>
          <cell r="AI72">
            <v>1.4144509796954913E-2</v>
          </cell>
        </row>
        <row r="73">
          <cell r="P73">
            <v>1.5254522507362213E-2</v>
          </cell>
          <cell r="R73">
            <v>7.6338006354389632E-3</v>
          </cell>
          <cell r="S73">
            <v>1.1753981361459271E-2</v>
          </cell>
          <cell r="U73">
            <v>7.6526072966081439E-3</v>
          </cell>
          <cell r="V73">
            <v>9.4118144709291213E-3</v>
          </cell>
          <cell r="W73">
            <v>9.1977972912635816E-3</v>
          </cell>
          <cell r="X73">
            <v>1.0162508311677004E-2</v>
          </cell>
          <cell r="Z73">
            <v>7.661145369634254E-3</v>
          </cell>
          <cell r="AA73">
            <v>9.8544961787163099E-3</v>
          </cell>
          <cell r="AB73">
            <v>1.8453611063062734E-2</v>
          </cell>
          <cell r="AC73">
            <v>1.0416666666666668E-2</v>
          </cell>
          <cell r="AD73">
            <v>9.2340103529213353E-3</v>
          </cell>
          <cell r="AE73">
            <v>1.2392125632628122E-2</v>
          </cell>
          <cell r="AF73">
            <v>7.6526072966081439E-3</v>
          </cell>
          <cell r="AG73">
            <v>9.6077100550531931E-3</v>
          </cell>
          <cell r="AH73">
            <v>7.661145369634254E-3</v>
          </cell>
          <cell r="AI73">
            <v>1.4144509796954913E-2</v>
          </cell>
        </row>
        <row r="74">
          <cell r="P74">
            <v>1.5002103491796372E-2</v>
          </cell>
          <cell r="R74">
            <v>7.6341535878757154E-3</v>
          </cell>
          <cell r="S74">
            <v>1.2439415428947588E-2</v>
          </cell>
          <cell r="U74">
            <v>7.6555945636771873E-3</v>
          </cell>
          <cell r="V74">
            <v>1.0553922294367711E-2</v>
          </cell>
          <cell r="W74">
            <v>1.0022749984053749E-2</v>
          </cell>
          <cell r="X74">
            <v>1.0162508311677004E-2</v>
          </cell>
          <cell r="Z74">
            <v>7.663034752591418E-3</v>
          </cell>
          <cell r="AA74">
            <v>9.8544961787163099E-3</v>
          </cell>
          <cell r="AB74">
            <v>1.8453611063062734E-2</v>
          </cell>
          <cell r="AC74">
            <v>1.0416666666666668E-2</v>
          </cell>
          <cell r="AD74">
            <v>9.2340103529213353E-3</v>
          </cell>
          <cell r="AE74">
            <v>1.2727695663695037E-2</v>
          </cell>
          <cell r="AF74">
            <v>7.6555945636771873E-3</v>
          </cell>
          <cell r="AG74">
            <v>1.0166762596886477E-2</v>
          </cell>
          <cell r="AH74">
            <v>7.663034752591418E-3</v>
          </cell>
          <cell r="AI74">
            <v>1.4144509796954913E-2</v>
          </cell>
        </row>
        <row r="75">
          <cell r="P75">
            <v>7.564156499789647E-3</v>
          </cell>
          <cell r="R75">
            <v>7.6333438734619893E-3</v>
          </cell>
          <cell r="S75">
            <v>9.3857613997951807E-3</v>
          </cell>
          <cell r="U75">
            <v>7.6475086814171049E-3</v>
          </cell>
          <cell r="V75">
            <v>8.1851060679765612E-3</v>
          </cell>
          <cell r="W75">
            <v>7.3012565645397915E-3</v>
          </cell>
          <cell r="X75">
            <v>1.0162508311677004E-2</v>
          </cell>
          <cell r="Z75">
            <v>7.6610140932561171E-3</v>
          </cell>
          <cell r="AA75">
            <v>9.8544961787163099E-3</v>
          </cell>
          <cell r="AB75">
            <v>1.8453611063062734E-2</v>
          </cell>
          <cell r="AC75">
            <v>1.0416666666666668E-2</v>
          </cell>
          <cell r="AD75">
            <v>9.2340103529213353E-3</v>
          </cell>
          <cell r="AE75">
            <v>8.6640381771602003E-3</v>
          </cell>
          <cell r="AF75">
            <v>7.6475086814171049E-3</v>
          </cell>
          <cell r="AG75">
            <v>8.5591697731622965E-3</v>
          </cell>
          <cell r="AH75">
            <v>7.6610140932561171E-3</v>
          </cell>
          <cell r="AI75">
            <v>1.4144509796954913E-2</v>
          </cell>
        </row>
        <row r="76">
          <cell r="P76">
            <v>1.3218342448464444E-2</v>
          </cell>
          <cell r="R76">
            <v>7.6336968258987415E-3</v>
          </cell>
          <cell r="S76">
            <v>1.1739323083384271E-2</v>
          </cell>
          <cell r="U76">
            <v>7.6520637103989278E-3</v>
          </cell>
          <cell r="V76">
            <v>1.0120344324358616E-2</v>
          </cell>
          <cell r="W76">
            <v>9.4699466332149769E-3</v>
          </cell>
          <cell r="X76">
            <v>1.0162508311677004E-2</v>
          </cell>
          <cell r="Z76">
            <v>7.6625419759006027E-3</v>
          </cell>
          <cell r="AA76">
            <v>9.8544961787163099E-3</v>
          </cell>
          <cell r="AB76">
            <v>1.8453611063062734E-2</v>
          </cell>
          <cell r="AC76">
            <v>1.0416666666666668E-2</v>
          </cell>
          <cell r="AD76">
            <v>9.2340103529213353E-3</v>
          </cell>
          <cell r="AE76">
            <v>1.1772466267159769E-2</v>
          </cell>
          <cell r="AF76">
            <v>7.6520637103989278E-3</v>
          </cell>
          <cell r="AG76">
            <v>9.8482721587355455E-3</v>
          </cell>
          <cell r="AH76">
            <v>7.6625419759006027E-3</v>
          </cell>
          <cell r="AI76">
            <v>1.4144509796954913E-2</v>
          </cell>
        </row>
        <row r="77">
          <cell r="P77">
            <v>5.1241060159865348E-3</v>
          </cell>
          <cell r="R77">
            <v>7.6334130798221362E-3</v>
          </cell>
          <cell r="S77">
            <v>1.2847984730962334E-2</v>
          </cell>
          <cell r="U77">
            <v>7.6570246488990596E-3</v>
          </cell>
          <cell r="V77">
            <v>1.0860599395105849E-2</v>
          </cell>
          <cell r="W77">
            <v>9.4316756320030615E-3</v>
          </cell>
          <cell r="X77">
            <v>1.106559184676454E-2</v>
          </cell>
          <cell r="Z77">
            <v>7.6609607410698926E-3</v>
          </cell>
          <cell r="AA77">
            <v>1.3082904906637931E-2</v>
          </cell>
          <cell r="AB77">
            <v>1.4238504046684813E-2</v>
          </cell>
          <cell r="AC77">
            <v>1.3503086419753089E-2</v>
          </cell>
          <cell r="AD77">
            <v>1.3284014893676307E-2</v>
          </cell>
          <cell r="AE77">
            <v>1.0009363951355574E-2</v>
          </cell>
          <cell r="AF77">
            <v>7.6570246488990596E-3</v>
          </cell>
          <cell r="AG77">
            <v>1.030638112998683E-2</v>
          </cell>
          <cell r="AH77">
            <v>7.6609607410698926E-3</v>
          </cell>
          <cell r="AI77">
            <v>1.3769649467065791E-2</v>
          </cell>
        </row>
        <row r="78">
          <cell r="P78">
            <v>1.037442153975599E-2</v>
          </cell>
          <cell r="R78">
            <v>7.6354408261744599E-3</v>
          </cell>
          <cell r="S78">
            <v>1.3734222865551647E-2</v>
          </cell>
          <cell r="U78">
            <v>7.6569315074319633E-3</v>
          </cell>
          <cell r="V78">
            <v>1.3028489245151322E-2</v>
          </cell>
          <cell r="W78">
            <v>1.13962536942147E-2</v>
          </cell>
          <cell r="X78">
            <v>1.106559184676454E-2</v>
          </cell>
          <cell r="Z78">
            <v>7.6611611575856534E-3</v>
          </cell>
          <cell r="AA78">
            <v>1.3082904906637931E-2</v>
          </cell>
          <cell r="AB78">
            <v>1.4238504046684813E-2</v>
          </cell>
          <cell r="AC78">
            <v>1.3503086419753089E-2</v>
          </cell>
          <cell r="AD78">
            <v>1.3284014893676307E-2</v>
          </cell>
          <cell r="AE78">
            <v>1.2116404263875231E-2</v>
          </cell>
          <cell r="AF78">
            <v>7.6569315074319633E-3</v>
          </cell>
          <cell r="AG78">
            <v>1.1544338929718557E-2</v>
          </cell>
          <cell r="AH78">
            <v>7.6611611575856534E-3</v>
          </cell>
          <cell r="AI78">
            <v>1.3769649467065791E-2</v>
          </cell>
        </row>
        <row r="79">
          <cell r="P79">
            <v>1.2923853596970965E-2</v>
          </cell>
          <cell r="R79">
            <v>7.6349148578373381E-3</v>
          </cell>
          <cell r="S79">
            <v>1.2369303198155726E-2</v>
          </cell>
          <cell r="U79">
            <v>7.6556134665830252E-3</v>
          </cell>
          <cell r="V79">
            <v>1.069139823607791E-2</v>
          </cell>
          <cell r="W79">
            <v>9.6442923054025891E-3</v>
          </cell>
          <cell r="X79">
            <v>1.106559184676454E-2</v>
          </cell>
          <cell r="Z79">
            <v>7.6628231356768639E-3</v>
          </cell>
          <cell r="AA79">
            <v>1.3082904906637931E-2</v>
          </cell>
          <cell r="AB79">
            <v>1.4238504046684813E-2</v>
          </cell>
          <cell r="AC79">
            <v>1.3503086419753089E-2</v>
          </cell>
          <cell r="AD79">
            <v>1.3284014893676307E-2</v>
          </cell>
          <cell r="AE79">
            <v>1.2062229483768458E-2</v>
          </cell>
          <cell r="AF79">
            <v>7.6556134665830252E-3</v>
          </cell>
          <cell r="AG79">
            <v>1.0372032738311516E-2</v>
          </cell>
          <cell r="AH79">
            <v>7.6628231356768639E-3</v>
          </cell>
          <cell r="AI79">
            <v>1.3769649467065791E-2</v>
          </cell>
        </row>
        <row r="80">
          <cell r="P80">
            <v>2.0538493899873778E-2</v>
          </cell>
          <cell r="R80">
            <v>7.6343335244120989E-3</v>
          </cell>
          <cell r="S80">
            <v>1.2665322861945204E-2</v>
          </cell>
          <cell r="U80">
            <v>7.6557707418685754E-3</v>
          </cell>
          <cell r="V80">
            <v>9.9722933102091692E-3</v>
          </cell>
          <cell r="W80">
            <v>9.6357876384666075E-3</v>
          </cell>
          <cell r="X80">
            <v>1.106559184676454E-2</v>
          </cell>
          <cell r="Z80">
            <v>7.6604586025032758E-3</v>
          </cell>
          <cell r="AA80">
            <v>1.3082904906637931E-2</v>
          </cell>
          <cell r="AB80">
            <v>1.4238504046684813E-2</v>
          </cell>
          <cell r="AC80">
            <v>1.3503086419753089E-2</v>
          </cell>
          <cell r="AD80">
            <v>1.3284014893676307E-2</v>
          </cell>
          <cell r="AE80">
            <v>1.4524175239570464E-2</v>
          </cell>
          <cell r="AF80">
            <v>7.6557707418685754E-3</v>
          </cell>
          <cell r="AG80">
            <v>1.0246589058401985E-2</v>
          </cell>
          <cell r="AH80">
            <v>7.6604586025032758E-3</v>
          </cell>
          <cell r="AI80">
            <v>1.3769649467065791E-2</v>
          </cell>
        </row>
        <row r="81">
          <cell r="P81">
            <v>1.994951619688682E-2</v>
          </cell>
          <cell r="R81">
            <v>7.633648381446638E-3</v>
          </cell>
          <cell r="S81">
            <v>1.2023629545428774E-2</v>
          </cell>
          <cell r="U81">
            <v>7.6548103086942253E-3</v>
          </cell>
          <cell r="V81">
            <v>9.0522620079947491E-3</v>
          </cell>
          <cell r="W81">
            <v>9.2530776263474567E-3</v>
          </cell>
          <cell r="X81">
            <v>1.106559184676454E-2</v>
          </cell>
          <cell r="Z81">
            <v>7.662067123349805E-3</v>
          </cell>
          <cell r="AA81">
            <v>1.3082904906637931E-2</v>
          </cell>
          <cell r="AB81">
            <v>1.4238504046684813E-2</v>
          </cell>
          <cell r="AC81">
            <v>1.3503086419753089E-2</v>
          </cell>
          <cell r="AD81">
            <v>1.3284014893676307E-2</v>
          </cell>
          <cell r="AE81">
            <v>1.3962397424467974E-2</v>
          </cell>
          <cell r="AF81">
            <v>7.6548103086942253E-3</v>
          </cell>
          <cell r="AG81">
            <v>9.9212151161599087E-3</v>
          </cell>
          <cell r="AH81">
            <v>7.662067123349805E-3</v>
          </cell>
          <cell r="AI81">
            <v>1.3769649467065791E-2</v>
          </cell>
        </row>
        <row r="82">
          <cell r="P82">
            <v>1.6491375683634825E-2</v>
          </cell>
          <cell r="R82">
            <v>7.633288508373871E-3</v>
          </cell>
          <cell r="S82">
            <v>1.3263056309783985E-2</v>
          </cell>
          <cell r="U82">
            <v>7.655959034871789E-3</v>
          </cell>
          <cell r="V82">
            <v>9.8982678031344449E-3</v>
          </cell>
          <cell r="W82">
            <v>9.5634979695107692E-3</v>
          </cell>
          <cell r="X82">
            <v>1.106559184676454E-2</v>
          </cell>
          <cell r="Z82">
            <v>7.6676740406508232E-3</v>
          </cell>
          <cell r="AA82">
            <v>1.3082904906637931E-2</v>
          </cell>
          <cell r="AB82">
            <v>1.4238504046684813E-2</v>
          </cell>
          <cell r="AC82">
            <v>1.3503086419753089E-2</v>
          </cell>
          <cell r="AD82">
            <v>1.3284014893676307E-2</v>
          </cell>
          <cell r="AE82">
            <v>1.3668575341798224E-2</v>
          </cell>
          <cell r="AF82">
            <v>7.655959034871789E-3</v>
          </cell>
          <cell r="AG82">
            <v>1.0202008608049267E-2</v>
          </cell>
          <cell r="AH82">
            <v>7.6676740406508232E-3</v>
          </cell>
          <cell r="AI82">
            <v>1.3769649467065791E-2</v>
          </cell>
        </row>
        <row r="83">
          <cell r="P83">
            <v>2.6201093815734103E-2</v>
          </cell>
          <cell r="R83">
            <v>7.6341535878757154E-3</v>
          </cell>
          <cell r="S83">
            <v>1.4547370647506748E-2</v>
          </cell>
          <cell r="U83">
            <v>7.6591695666699024E-3</v>
          </cell>
          <cell r="V83">
            <v>9.7396417165457536E-3</v>
          </cell>
          <cell r="W83">
            <v>9.4316756320030615E-3</v>
          </cell>
          <cell r="X83">
            <v>1.106559184676454E-2</v>
          </cell>
          <cell r="Z83">
            <v>7.6664961952740791E-3</v>
          </cell>
          <cell r="AA83">
            <v>1.3082904906637931E-2</v>
          </cell>
          <cell r="AB83">
            <v>1.4238504046684813E-2</v>
          </cell>
          <cell r="AC83">
            <v>1.3503086419753089E-2</v>
          </cell>
          <cell r="AD83">
            <v>1.3284014893676307E-2</v>
          </cell>
          <cell r="AE83">
            <v>1.7352165892011849E-2</v>
          </cell>
          <cell r="AF83">
            <v>7.6591695666699024E-3</v>
          </cell>
          <cell r="AG83">
            <v>1.0116715231806267E-2</v>
          </cell>
          <cell r="AH83">
            <v>7.6664961952740791E-3</v>
          </cell>
          <cell r="AI83">
            <v>1.3769649467065791E-2</v>
          </cell>
        </row>
        <row r="84">
          <cell r="P84">
            <v>9.9200673117374773E-3</v>
          </cell>
          <cell r="R84">
            <v>7.6347695244810276E-3</v>
          </cell>
          <cell r="S84">
            <v>1.512465242469057E-2</v>
          </cell>
          <cell r="U84">
            <v>7.6617888713242394E-3</v>
          </cell>
          <cell r="V84">
            <v>1.3641843446627602E-2</v>
          </cell>
          <cell r="W84">
            <v>1.2408309059596454E-2</v>
          </cell>
          <cell r="X84">
            <v>1.2215479774185507E-2</v>
          </cell>
          <cell r="Z84">
            <v>7.6672074176791288E-3</v>
          </cell>
          <cell r="AA84">
            <v>1.2799656257516839E-2</v>
          </cell>
          <cell r="AB84">
            <v>3.1062516500823902E-2</v>
          </cell>
          <cell r="AC84">
            <v>1.388888888888889E-2</v>
          </cell>
          <cell r="AD84">
            <v>1.3284014893676307E-2</v>
          </cell>
          <cell r="AE84">
            <v>1.2814288600783687E-2</v>
          </cell>
          <cell r="AF84">
            <v>7.6617888713242394E-3</v>
          </cell>
          <cell r="AG84">
            <v>1.2542326447323438E-2</v>
          </cell>
          <cell r="AH84">
            <v>7.6672074176791288E-3</v>
          </cell>
          <cell r="AI84">
            <v>2.2113508383979255E-2</v>
          </cell>
        </row>
        <row r="85">
          <cell r="P85">
            <v>2.0496424063946139E-2</v>
          </cell>
          <cell r="R85">
            <v>7.6344719371323937E-3</v>
          </cell>
          <cell r="S85">
            <v>1.296665045693445E-2</v>
          </cell>
          <cell r="U85">
            <v>7.6621910484169168E-3</v>
          </cell>
          <cell r="V85">
            <v>1.1209576785600974E-2</v>
          </cell>
          <cell r="W85">
            <v>1.1353730359534795E-2</v>
          </cell>
          <cell r="X85">
            <v>1.2215479774185507E-2</v>
          </cell>
          <cell r="Z85">
            <v>7.6658912978637191E-3</v>
          </cell>
          <cell r="AA85">
            <v>1.2799656257516839E-2</v>
          </cell>
          <cell r="AB85">
            <v>3.1062516500823902E-2</v>
          </cell>
          <cell r="AC85">
            <v>1.388888888888889E-2</v>
          </cell>
          <cell r="AD85">
            <v>1.3284014893676307E-2</v>
          </cell>
          <cell r="AE85">
            <v>1.469236468705775E-2</v>
          </cell>
          <cell r="AF85">
            <v>7.6621910484169168E-3</v>
          </cell>
          <cell r="AG85">
            <v>1.1663156335493932E-2</v>
          </cell>
          <cell r="AH85">
            <v>7.6658912978637191E-3</v>
          </cell>
          <cell r="AI85">
            <v>2.2113508383979255E-2</v>
          </cell>
        </row>
        <row r="86">
          <cell r="P86">
            <v>9.2132940681531276E-3</v>
          </cell>
          <cell r="R86">
            <v>7.6339736513393319E-3</v>
          </cell>
          <cell r="S86">
            <v>1.1272933264470413E-2</v>
          </cell>
          <cell r="U86">
            <v>7.6512423696572553E-3</v>
          </cell>
          <cell r="V86">
            <v>1.0088619107040876E-2</v>
          </cell>
          <cell r="W86">
            <v>8.8193396126124216E-3</v>
          </cell>
          <cell r="X86">
            <v>1.2215479774185507E-2</v>
          </cell>
          <cell r="Z86">
            <v>7.6665510182786969E-3</v>
          </cell>
          <cell r="AA86">
            <v>1.2799656257516839E-2</v>
          </cell>
          <cell r="AB86">
            <v>3.1062516500823902E-2</v>
          </cell>
          <cell r="AC86">
            <v>1.388888888888889E-2</v>
          </cell>
          <cell r="AD86">
            <v>1.3284014893676307E-2</v>
          </cell>
          <cell r="AE86">
            <v>1.029114554426212E-2</v>
          </cell>
          <cell r="AF86">
            <v>7.6512423696572553E-3</v>
          </cell>
          <cell r="AG86">
            <v>1.0349667793432167E-2</v>
          </cell>
          <cell r="AH86">
            <v>7.6665510182786969E-3</v>
          </cell>
          <cell r="AI86">
            <v>2.2113508383979255E-2</v>
          </cell>
        </row>
        <row r="87">
          <cell r="P87">
            <v>7.1518721076987762E-3</v>
          </cell>
          <cell r="R87">
            <v>7.6347902863890729E-3</v>
          </cell>
          <cell r="S87">
            <v>1.2867326184320016E-2</v>
          </cell>
          <cell r="U87">
            <v>7.6538369860723928E-3</v>
          </cell>
          <cell r="V87">
            <v>1.0511622004610725E-2</v>
          </cell>
          <cell r="W87">
            <v>9.4486849658750229E-3</v>
          </cell>
          <cell r="X87">
            <v>1.2215479774185507E-2</v>
          </cell>
          <cell r="Z87">
            <v>7.6675449062978841E-3</v>
          </cell>
          <cell r="AA87">
            <v>1.2799656257516839E-2</v>
          </cell>
          <cell r="AB87">
            <v>3.1062516500823902E-2</v>
          </cell>
          <cell r="AC87">
            <v>1.388888888888889E-2</v>
          </cell>
          <cell r="AD87">
            <v>1.3284014893676307E-2</v>
          </cell>
          <cell r="AE87">
            <v>1.0629436371540549E-2</v>
          </cell>
          <cell r="AF87">
            <v>7.6538369860723928E-3</v>
          </cell>
          <cell r="AG87">
            <v>1.0700309882988847E-2</v>
          </cell>
          <cell r="AH87">
            <v>7.6675449062978841E-3</v>
          </cell>
          <cell r="AI87">
            <v>2.2113508383979255E-2</v>
          </cell>
        </row>
        <row r="88">
          <cell r="P88">
            <v>9.2721918384518244E-3</v>
          </cell>
          <cell r="R88">
            <v>7.6345619054005859E-3</v>
          </cell>
          <cell r="S88">
            <v>1.3883808935046014E-2</v>
          </cell>
          <cell r="U88">
            <v>7.65827844028344E-3</v>
          </cell>
          <cell r="V88">
            <v>1.2267084029525595E-2</v>
          </cell>
          <cell r="W88">
            <v>1.1264431356706992E-2</v>
          </cell>
          <cell r="X88">
            <v>1.2215479774185507E-2</v>
          </cell>
          <cell r="Z88">
            <v>7.6690138219652985E-3</v>
          </cell>
          <cell r="AA88">
            <v>1.2799656257516839E-2</v>
          </cell>
          <cell r="AB88">
            <v>3.1062516500823902E-2</v>
          </cell>
          <cell r="AC88">
            <v>1.388888888888889E-2</v>
          </cell>
          <cell r="AD88">
            <v>1.3284014893676307E-2</v>
          </cell>
          <cell r="AE88">
            <v>1.1875399103103215E-2</v>
          </cell>
          <cell r="AF88">
            <v>7.65827844028344E-3</v>
          </cell>
          <cell r="AG88">
            <v>1.1802488650396459E-2</v>
          </cell>
          <cell r="AH88">
            <v>7.6690138219652985E-3</v>
          </cell>
          <cell r="AI88">
            <v>2.2113508383979255E-2</v>
          </cell>
        </row>
        <row r="89">
          <cell r="P89">
            <v>1.4051325199831712E-2</v>
          </cell>
          <cell r="R89">
            <v>7.6343473656841285E-3</v>
          </cell>
          <cell r="S89">
            <v>1.2320282850198856E-2</v>
          </cell>
          <cell r="U89">
            <v>7.6569007375181779E-3</v>
          </cell>
          <cell r="V89">
            <v>1.1061525771451529E-2</v>
          </cell>
          <cell r="W89">
            <v>1.0643590670380371E-2</v>
          </cell>
          <cell r="X89">
            <v>1.2215479774185507E-2</v>
          </cell>
          <cell r="Z89">
            <v>7.665233386788828E-3</v>
          </cell>
          <cell r="AA89">
            <v>1.2799656257516839E-2</v>
          </cell>
          <cell r="AB89">
            <v>3.1062516500823902E-2</v>
          </cell>
          <cell r="AC89">
            <v>1.388888888888889E-2</v>
          </cell>
          <cell r="AD89">
            <v>1.3284014893676307E-2</v>
          </cell>
          <cell r="AE89">
            <v>1.2371002006637238E-2</v>
          </cell>
          <cell r="AF89">
            <v>7.6569007375181779E-3</v>
          </cell>
          <cell r="AG89">
            <v>1.1323209509224406E-2</v>
          </cell>
          <cell r="AH89">
            <v>7.665233386788828E-3</v>
          </cell>
          <cell r="AI89">
            <v>2.2113508383979255E-2</v>
          </cell>
        </row>
        <row r="90">
          <cell r="P90">
            <v>4.6360959192259122E-3</v>
          </cell>
          <cell r="R90">
            <v>7.6347072387568955E-3</v>
          </cell>
          <cell r="S90">
            <v>9.66606484691164E-3</v>
          </cell>
          <cell r="U90">
            <v>7.6441978442009948E-3</v>
          </cell>
          <cell r="V90">
            <v>1.0342420845582786E-2</v>
          </cell>
          <cell r="W90">
            <v>9.367890629983203E-3</v>
          </cell>
          <cell r="X90">
            <v>9.1668209841401921E-3</v>
          </cell>
          <cell r="Z90">
            <v>7.6346067221662543E-3</v>
          </cell>
          <cell r="AA90">
            <v>8.5628956938229236E-3</v>
          </cell>
          <cell r="AB90">
            <v>4.7886528954962995E-3</v>
          </cell>
          <cell r="AC90">
            <v>8.2947530864197535E-3</v>
          </cell>
          <cell r="AD90">
            <v>8.7480098080307388E-3</v>
          </cell>
          <cell r="AE90">
            <v>7.9539384077904479E-3</v>
          </cell>
          <cell r="AF90">
            <v>7.6441978442009948E-3</v>
          </cell>
          <cell r="AG90">
            <v>9.4548924677333966E-3</v>
          </cell>
          <cell r="AH90">
            <v>7.6346067221662543E-3</v>
          </cell>
          <cell r="AI90">
            <v>6.6644198812041569E-3</v>
          </cell>
        </row>
        <row r="91">
          <cell r="P91">
            <v>2.0025241901556572E-3</v>
          </cell>
          <cell r="R91">
            <v>7.6344580958603641E-3</v>
          </cell>
          <cell r="S91">
            <v>6.0036211601333768E-3</v>
          </cell>
          <cell r="U91">
            <v>7.6284226301161513E-3</v>
          </cell>
          <cell r="V91">
            <v>8.280281719929776E-3</v>
          </cell>
          <cell r="W91">
            <v>6.8462568834648015E-3</v>
          </cell>
          <cell r="X91">
            <v>9.1668209841401921E-3</v>
          </cell>
          <cell r="Z91">
            <v>7.6356311471768353E-3</v>
          </cell>
          <cell r="AA91">
            <v>8.5628956938229236E-3</v>
          </cell>
          <cell r="AB91">
            <v>4.7886528954962995E-3</v>
          </cell>
          <cell r="AC91">
            <v>8.2947530864197535E-3</v>
          </cell>
          <cell r="AD91">
            <v>8.7480098080307388E-3</v>
          </cell>
          <cell r="AE91">
            <v>4.9663757627127596E-3</v>
          </cell>
          <cell r="AF91">
            <v>7.6284226301161513E-3</v>
          </cell>
          <cell r="AG91">
            <v>7.9878129686256679E-3</v>
          </cell>
          <cell r="AH91">
            <v>7.6356311471768353E-3</v>
          </cell>
          <cell r="AI91">
            <v>6.6644198812041569E-3</v>
          </cell>
        </row>
        <row r="92">
          <cell r="P92">
            <v>3.4328986116954124E-3</v>
          </cell>
          <cell r="R92">
            <v>7.6336068576305502E-3</v>
          </cell>
          <cell r="S92">
            <v>7.8364537018375674E-3</v>
          </cell>
          <cell r="U92">
            <v>7.6357645268129177E-3</v>
          </cell>
          <cell r="V92">
            <v>7.9736046191916359E-3</v>
          </cell>
          <cell r="W92">
            <v>7.3225182318797429E-3</v>
          </cell>
          <cell r="X92">
            <v>9.1668209841401921E-3</v>
          </cell>
          <cell r="Z92">
            <v>7.6441007556698687E-3</v>
          </cell>
          <cell r="AA92">
            <v>8.5628956938229236E-3</v>
          </cell>
          <cell r="AB92">
            <v>4.7886528954962995E-3</v>
          </cell>
          <cell r="AC92">
            <v>8.2947530864197535E-3</v>
          </cell>
          <cell r="AD92">
            <v>8.7480098080307388E-3</v>
          </cell>
          <cell r="AE92">
            <v>6.4951024903742187E-3</v>
          </cell>
          <cell r="AF92">
            <v>7.6357645268129177E-3</v>
          </cell>
          <cell r="AG92">
            <v>8.1471113896083962E-3</v>
          </cell>
          <cell r="AH92">
            <v>7.6441007556698687E-3</v>
          </cell>
          <cell r="AI92">
            <v>6.6644198812041569E-3</v>
          </cell>
        </row>
        <row r="93">
          <cell r="P93">
            <v>5.4606647034076538E-3</v>
          </cell>
          <cell r="R93">
            <v>7.6326241273164544E-3</v>
          </cell>
          <cell r="S93">
            <v>9.1091628711452311E-3</v>
          </cell>
          <cell r="U93">
            <v>7.641606798580944E-3</v>
          </cell>
          <cell r="V93">
            <v>9.2531883843404265E-3</v>
          </cell>
          <cell r="W93">
            <v>8.2027512597537891E-3</v>
          </cell>
          <cell r="X93">
            <v>9.1668209841401921E-3</v>
          </cell>
          <cell r="Z93">
            <v>7.6422346314876863E-3</v>
          </cell>
          <cell r="AA93">
            <v>8.5628956938229236E-3</v>
          </cell>
          <cell r="AB93">
            <v>4.7886528954962995E-3</v>
          </cell>
          <cell r="AC93">
            <v>8.2947530864197535E-3</v>
          </cell>
          <cell r="AD93">
            <v>8.7480098080307388E-3</v>
          </cell>
          <cell r="AE93">
            <v>7.8669595464410796E-3</v>
          </cell>
          <cell r="AF93">
            <v>7.641606798580944E-3</v>
          </cell>
          <cell r="AG93">
            <v>8.753937753500236E-3</v>
          </cell>
          <cell r="AH93">
            <v>7.6422346314876863E-3</v>
          </cell>
          <cell r="AI93">
            <v>6.6644198812041569E-3</v>
          </cell>
        </row>
        <row r="94">
          <cell r="P94">
            <v>8.2877576777450526E-3</v>
          </cell>
          <cell r="R94">
            <v>7.6342366355078919E-3</v>
          </cell>
          <cell r="S94">
            <v>1.0898168071053952E-2</v>
          </cell>
          <cell r="U94">
            <v>7.6521539408705586E-3</v>
          </cell>
          <cell r="V94">
            <v>9.9722933102091692E-3</v>
          </cell>
          <cell r="W94">
            <v>1.0116301320349541E-2</v>
          </cell>
          <cell r="X94">
            <v>9.1668209841401921E-3</v>
          </cell>
          <cell r="Z94">
            <v>7.6502541870622654E-3</v>
          </cell>
          <cell r="AA94">
            <v>8.5628956938229236E-3</v>
          </cell>
          <cell r="AB94">
            <v>4.7886528954962995E-3</v>
          </cell>
          <cell r="AC94">
            <v>8.2947530864197535E-3</v>
          </cell>
          <cell r="AD94">
            <v>8.7480098080307388E-3</v>
          </cell>
          <cell r="AE94">
            <v>9.7886518095066759E-3</v>
          </cell>
          <cell r="AF94">
            <v>7.6521539408705586E-3</v>
          </cell>
          <cell r="AG94">
            <v>9.7241340247835595E-3</v>
          </cell>
          <cell r="AH94">
            <v>7.6502541870622654E-3</v>
          </cell>
          <cell r="AI94">
            <v>6.6644198812041569E-3</v>
          </cell>
        </row>
        <row r="95">
          <cell r="P95">
            <v>6.3693731594446747E-3</v>
          </cell>
          <cell r="R95">
            <v>7.6340220957914345E-3</v>
          </cell>
          <cell r="S95">
            <v>9.8384421004592045E-3</v>
          </cell>
          <cell r="U95">
            <v>7.6506808800385793E-3</v>
          </cell>
          <cell r="V95">
            <v>8.3331570821260081E-3</v>
          </cell>
          <cell r="W95">
            <v>7.7520039121467908E-3</v>
          </cell>
          <cell r="X95">
            <v>9.1668209841401921E-3</v>
          </cell>
          <cell r="Z95">
            <v>7.6487463122171867E-3</v>
          </cell>
          <cell r="AA95">
            <v>8.5628956938229236E-3</v>
          </cell>
          <cell r="AB95">
            <v>4.7886528954962995E-3</v>
          </cell>
          <cell r="AC95">
            <v>8.2947530864197535E-3</v>
          </cell>
          <cell r="AD95">
            <v>8.7480098080307388E-3</v>
          </cell>
          <cell r="AE95">
            <v>8.5772794176880683E-3</v>
          </cell>
          <cell r="AF95">
            <v>7.6506808800385793E-3</v>
          </cell>
          <cell r="AG95">
            <v>8.3983940758519549E-3</v>
          </cell>
          <cell r="AH95">
            <v>7.6487463122171867E-3</v>
          </cell>
          <cell r="AI95">
            <v>6.6644198812041569E-3</v>
          </cell>
        </row>
        <row r="96">
          <cell r="P96">
            <v>1.0391249474127045E-2</v>
          </cell>
          <cell r="R96">
            <v>7.6332193020137232E-3</v>
          </cell>
          <cell r="S96">
            <v>1.0157358039071054E-2</v>
          </cell>
          <cell r="U96">
            <v>7.6545612689097172E-3</v>
          </cell>
          <cell r="V96">
            <v>8.8090353418920873E-3</v>
          </cell>
          <cell r="W96">
            <v>9.2318159590075062E-3</v>
          </cell>
          <cell r="X96">
            <v>7.2046088045948616E-3</v>
          </cell>
          <cell r="Z96">
            <v>7.6518041436558068E-3</v>
          </cell>
          <cell r="AA96">
            <v>7.3863769183483826E-3</v>
          </cell>
          <cell r="AB96">
            <v>5.5989002485365476E-3</v>
          </cell>
          <cell r="AC96">
            <v>6.7515432098765446E-3</v>
          </cell>
          <cell r="AD96">
            <v>7.4520083549891479E-3</v>
          </cell>
          <cell r="AE96">
            <v>9.975111595882118E-3</v>
          </cell>
          <cell r="AF96">
            <v>7.6545612689097172E-3</v>
          </cell>
          <cell r="AG96">
            <v>8.3750002455772535E-3</v>
          </cell>
          <cell r="AH96">
            <v>7.6518041436558068E-3</v>
          </cell>
          <cell r="AI96">
            <v>6.3745039062373214E-3</v>
          </cell>
        </row>
        <row r="97">
          <cell r="P97">
            <v>1.1249474127050898E-2</v>
          </cell>
          <cell r="R97">
            <v>7.6329701591171927E-3</v>
          </cell>
          <cell r="S97">
            <v>1.0403763327330751E-2</v>
          </cell>
          <cell r="U97">
            <v>7.6493189803427614E-3</v>
          </cell>
          <cell r="V97">
            <v>8.2908567923690221E-3</v>
          </cell>
          <cell r="W97">
            <v>8.27929326217762E-3</v>
          </cell>
          <cell r="X97">
            <v>7.2046088045948616E-3</v>
          </cell>
          <cell r="Z97">
            <v>7.6514965850240273E-3</v>
          </cell>
          <cell r="AA97">
            <v>7.3863769183483826E-3</v>
          </cell>
          <cell r="AB97">
            <v>5.5989002485365476E-3</v>
          </cell>
          <cell r="AC97">
            <v>6.7515432098765446E-3</v>
          </cell>
          <cell r="AD97">
            <v>7.4520083549891479E-3</v>
          </cell>
          <cell r="AE97">
            <v>1.0380397250425439E-2</v>
          </cell>
          <cell r="AF97">
            <v>7.6493189803427614E-3</v>
          </cell>
          <cell r="AG97">
            <v>7.8649482045050033E-3</v>
          </cell>
          <cell r="AH97">
            <v>7.6514965850240273E-3</v>
          </cell>
          <cell r="AI97">
            <v>6.3745039062373214E-3</v>
          </cell>
        </row>
        <row r="98">
          <cell r="P98">
            <v>1.1863693731594439E-2</v>
          </cell>
          <cell r="R98">
            <v>7.6338144767109919E-3</v>
          </cell>
          <cell r="S98">
            <v>8.9472612230684003E-3</v>
          </cell>
          <cell r="U98">
            <v>7.648988308104644E-3</v>
          </cell>
          <cell r="V98">
            <v>8.0264799813878681E-3</v>
          </cell>
          <cell r="W98">
            <v>8.5599472710649969E-3</v>
          </cell>
          <cell r="X98">
            <v>7.2046088045948616E-3</v>
          </cell>
          <cell r="Z98">
            <v>7.6465983687250992E-3</v>
          </cell>
          <cell r="AA98">
            <v>7.3863769183483826E-3</v>
          </cell>
          <cell r="AB98">
            <v>5.5989002485365476E-3</v>
          </cell>
          <cell r="AC98">
            <v>6.7515432098765446E-3</v>
          </cell>
          <cell r="AD98">
            <v>7.4520083549891479E-3</v>
          </cell>
          <cell r="AE98">
            <v>9.6908463009904716E-3</v>
          </cell>
          <cell r="AF98">
            <v>7.648988308104644E-3</v>
          </cell>
          <cell r="AG98">
            <v>7.944665839899813E-3</v>
          </cell>
          <cell r="AH98">
            <v>7.6465983687250992E-3</v>
          </cell>
          <cell r="AI98">
            <v>6.3745039062373214E-3</v>
          </cell>
        </row>
        <row r="99">
          <cell r="P99">
            <v>7.7408498106857331E-3</v>
          </cell>
          <cell r="R99">
            <v>7.6332123813777084E-3</v>
          </cell>
          <cell r="S99">
            <v>7.2965384937445886E-3</v>
          </cell>
          <cell r="U99">
            <v>7.6434603003468935E-3</v>
          </cell>
          <cell r="V99">
            <v>7.7832533152852055E-3</v>
          </cell>
          <cell r="W99">
            <v>8.0879382561180463E-3</v>
          </cell>
          <cell r="X99">
            <v>7.2046088045948616E-3</v>
          </cell>
          <cell r="Z99">
            <v>7.6428084724509508E-3</v>
          </cell>
          <cell r="AA99">
            <v>7.3863769183483826E-3</v>
          </cell>
          <cell r="AB99">
            <v>5.5989002485365476E-3</v>
          </cell>
          <cell r="AC99">
            <v>6.7515432098765446E-3</v>
          </cell>
          <cell r="AD99">
            <v>7.4520083549891479E-3</v>
          </cell>
          <cell r="AE99">
            <v>7.4634992775902444E-3</v>
          </cell>
          <cell r="AF99">
            <v>7.6434603003468935E-3</v>
          </cell>
          <cell r="AG99">
            <v>7.6942093792159248E-3</v>
          </cell>
          <cell r="AH99">
            <v>7.6428084724509508E-3</v>
          </cell>
          <cell r="AI99">
            <v>6.3745039062373214E-3</v>
          </cell>
        </row>
        <row r="100">
          <cell r="P100">
            <v>4.2911232646192649E-3</v>
          </cell>
          <cell r="R100">
            <v>7.6345688260366007E-3</v>
          </cell>
          <cell r="S100">
            <v>7.0738352163699659E-3</v>
          </cell>
          <cell r="U100">
            <v>7.6314295584592635E-3</v>
          </cell>
          <cell r="V100">
            <v>7.4660011421078185E-3</v>
          </cell>
          <cell r="W100">
            <v>7.9816299194182799E-3</v>
          </cell>
          <cell r="X100">
            <v>7.2046088045948616E-3</v>
          </cell>
          <cell r="Z100">
            <v>7.6372107302551456E-3</v>
          </cell>
          <cell r="AA100">
            <v>7.3863769183483826E-3</v>
          </cell>
          <cell r="AB100">
            <v>5.5989002485365476E-3</v>
          </cell>
          <cell r="AC100">
            <v>6.7515432098765446E-3</v>
          </cell>
          <cell r="AD100">
            <v>7.4520083549891479E-3</v>
          </cell>
          <cell r="AE100">
            <v>6.2950949918114188E-3</v>
          </cell>
          <cell r="AF100">
            <v>7.6314295584592635E-3</v>
          </cell>
          <cell r="AG100">
            <v>7.5933901398567739E-3</v>
          </cell>
          <cell r="AH100">
            <v>7.6372107302551456E-3</v>
          </cell>
          <cell r="AI100">
            <v>6.3745039062373214E-3</v>
          </cell>
        </row>
        <row r="101">
          <cell r="P101">
            <v>4.3584350021034892E-3</v>
          </cell>
          <cell r="R101">
            <v>7.6328732702129858E-3</v>
          </cell>
          <cell r="S101">
            <v>3.8760477551350492E-3</v>
          </cell>
          <cell r="U101">
            <v>7.6112518745607765E-3</v>
          </cell>
          <cell r="V101">
            <v>5.2346608574268703E-3</v>
          </cell>
          <cell r="W101">
            <v>5.9745285225267369E-3</v>
          </cell>
          <cell r="X101">
            <v>7.2046088045948616E-3</v>
          </cell>
          <cell r="Z101">
            <v>7.6325235822321648E-3</v>
          </cell>
          <cell r="AA101">
            <v>7.3863769183483826E-3</v>
          </cell>
          <cell r="AB101">
            <v>5.5989002485365476E-3</v>
          </cell>
          <cell r="AC101">
            <v>6.7515432098765446E-3</v>
          </cell>
          <cell r="AD101">
            <v>7.4520083549891479E-3</v>
          </cell>
          <cell r="AE101">
            <v>4.396446480733375E-3</v>
          </cell>
          <cell r="AF101">
            <v>7.6112518745607765E-3</v>
          </cell>
          <cell r="AG101">
            <v>6.3258404499387782E-3</v>
          </cell>
          <cell r="AH101">
            <v>7.6325235822321648E-3</v>
          </cell>
          <cell r="AI101">
            <v>6.3745039062373214E-3</v>
          </cell>
        </row>
        <row r="102">
          <cell r="P102">
            <v>4.4257467395877126E-3</v>
          </cell>
          <cell r="R102">
            <v>7.6329563178451623E-3</v>
          </cell>
          <cell r="S102">
            <v>4.0509061752911661E-3</v>
          </cell>
          <cell r="U102">
            <v>7.6163896547938696E-3</v>
          </cell>
          <cell r="V102">
            <v>6.5882701296503844E-3</v>
          </cell>
          <cell r="W102">
            <v>7.2884995641358192E-3</v>
          </cell>
          <cell r="X102">
            <v>7.2046088045948616E-3</v>
          </cell>
          <cell r="Z102">
            <v>7.6273099979561809E-3</v>
          </cell>
          <cell r="AA102">
            <v>7.3863769183483826E-3</v>
          </cell>
          <cell r="AB102">
            <v>5.5989002485365476E-3</v>
          </cell>
          <cell r="AC102">
            <v>6.7515432098765446E-3</v>
          </cell>
          <cell r="AD102">
            <v>7.4520083549891479E-3</v>
          </cell>
          <cell r="AE102">
            <v>4.52156335883553E-3</v>
          </cell>
          <cell r="AF102">
            <v>7.6163896547938696E-3</v>
          </cell>
          <cell r="AG102">
            <v>7.1375239835288085E-3</v>
          </cell>
          <cell r="AH102">
            <v>7.6273099979561809E-3</v>
          </cell>
          <cell r="AI102">
            <v>6.3745039062373214E-3</v>
          </cell>
        </row>
        <row r="103">
          <cell r="P103">
            <v>4.5098864114429928E-3</v>
          </cell>
          <cell r="R103">
            <v>7.6325064765042031E-3</v>
          </cell>
          <cell r="S103">
            <v>3.3442811575408538E-3</v>
          </cell>
          <cell r="U103">
            <v>7.5910275138795728E-3</v>
          </cell>
          <cell r="V103">
            <v>3.5426492671474779E-3</v>
          </cell>
          <cell r="W103">
            <v>3.3635957731805327E-3</v>
          </cell>
          <cell r="X103">
            <v>7.2046088045948616E-3</v>
          </cell>
          <cell r="Z103">
            <v>7.5957577391478097E-3</v>
          </cell>
          <cell r="AA103">
            <v>7.3863769183483826E-3</v>
          </cell>
          <cell r="AB103">
            <v>5.5989002485365476E-3</v>
          </cell>
          <cell r="AC103">
            <v>6.7515432098765446E-3</v>
          </cell>
          <cell r="AD103">
            <v>7.4520083549891479E-3</v>
          </cell>
          <cell r="AE103">
            <v>4.1227852656078312E-3</v>
          </cell>
          <cell r="AF103">
            <v>7.5910275138795728E-3</v>
          </cell>
          <cell r="AG103">
            <v>4.8817887055285147E-3</v>
          </cell>
          <cell r="AH103">
            <v>7.5957577391478097E-3</v>
          </cell>
          <cell r="AI103">
            <v>6.3745039062373214E-3</v>
          </cell>
        </row>
        <row r="104">
          <cell r="P104">
            <v>2.3390828775767761E-3</v>
          </cell>
          <cell r="R104">
            <v>7.6325341590482631E-3</v>
          </cell>
          <cell r="S104">
            <v>3.2865612563076664E-3</v>
          </cell>
          <cell r="U104">
            <v>7.5982404783912416E-3</v>
          </cell>
          <cell r="V104">
            <v>5.4673124510902869E-3</v>
          </cell>
          <cell r="W104">
            <v>6.1871451959262646E-3</v>
          </cell>
          <cell r="X104">
            <v>7.2046088045948616E-3</v>
          </cell>
          <cell r="Z104">
            <v>7.6268748575019892E-3</v>
          </cell>
          <cell r="AA104">
            <v>7.3863769183483826E-3</v>
          </cell>
          <cell r="AB104">
            <v>5.5989002485365476E-3</v>
          </cell>
          <cell r="AC104">
            <v>6.7515432098765446E-3</v>
          </cell>
          <cell r="AD104">
            <v>7.4520083549891479E-3</v>
          </cell>
          <cell r="AE104">
            <v>3.4369150329624592E-3</v>
          </cell>
          <cell r="AF104">
            <v>7.5982404783912416E-3</v>
          </cell>
          <cell r="AG104">
            <v>6.4594854934602727E-3</v>
          </cell>
          <cell r="AH104">
            <v>7.6268748575019892E-3</v>
          </cell>
          <cell r="AI104">
            <v>6.3745039062373214E-3</v>
          </cell>
        </row>
        <row r="105">
          <cell r="P105">
            <v>2.9364745477492623E-3</v>
          </cell>
          <cell r="R105">
            <v>7.6343266037760833E-3</v>
          </cell>
          <cell r="S105">
            <v>2.6317651883917773E-3</v>
          </cell>
          <cell r="U105">
            <v>7.5763922302874414E-3</v>
          </cell>
          <cell r="V105">
            <v>4.8222330322962676E-3</v>
          </cell>
          <cell r="W105">
            <v>5.4387345055599253E-3</v>
          </cell>
          <cell r="X105">
            <v>6.144689807812063E-3</v>
          </cell>
          <cell r="Z105">
            <v>7.6077293020316954E-3</v>
          </cell>
          <cell r="AA105">
            <v>6.6420733481243549E-3</v>
          </cell>
          <cell r="AB105">
            <v>3.7781196799067762E-3</v>
          </cell>
          <cell r="AC105">
            <v>6.7515432098765446E-3</v>
          </cell>
          <cell r="AD105">
            <v>6.4800072652079549E-3</v>
          </cell>
          <cell r="AE105">
            <v>3.2234341377374532E-3</v>
          </cell>
          <cell r="AF105">
            <v>7.5763922302874414E-3</v>
          </cell>
          <cell r="AG105">
            <v>5.6078891534531005E-3</v>
          </cell>
          <cell r="AH105">
            <v>7.6077293020316954E-3</v>
          </cell>
          <cell r="AI105">
            <v>5.2314312249206515E-3</v>
          </cell>
        </row>
        <row r="106">
          <cell r="P106">
            <v>3.7442153975599476E-3</v>
          </cell>
          <cell r="R106">
            <v>7.632637968588484E-3</v>
          </cell>
          <cell r="S106">
            <v>2.8986750451451982E-3</v>
          </cell>
          <cell r="U106">
            <v>7.5778591225222876E-3</v>
          </cell>
          <cell r="V106">
            <v>3.775300860810894E-3</v>
          </cell>
          <cell r="W106">
            <v>3.9589224586992107E-3</v>
          </cell>
          <cell r="X106">
            <v>6.144689807812063E-3</v>
          </cell>
          <cell r="Z106">
            <v>7.5668417297013509E-3</v>
          </cell>
          <cell r="AA106">
            <v>6.6420733481243549E-3</v>
          </cell>
          <cell r="AB106">
            <v>3.7781196799067762E-3</v>
          </cell>
          <cell r="AC106">
            <v>6.7515432098765446E-3</v>
          </cell>
          <cell r="AD106">
            <v>6.4800072652079549E-3</v>
          </cell>
          <cell r="AE106">
            <v>3.6257334432139516E-3</v>
          </cell>
          <cell r="AF106">
            <v>7.5778591225222876E-3</v>
          </cell>
          <cell r="AG106">
            <v>4.7745566166711613E-3</v>
          </cell>
          <cell r="AH106">
            <v>7.5668417297013509E-3</v>
          </cell>
          <cell r="AI106">
            <v>5.2314312249206515E-3</v>
          </cell>
        </row>
        <row r="107">
          <cell r="P107">
            <v>4.3920908708456009E-3</v>
          </cell>
          <cell r="R107">
            <v>7.6329840003892214E-3</v>
          </cell>
          <cell r="S107">
            <v>8.2295840015592092E-3</v>
          </cell>
          <cell r="U107">
            <v>7.6395145278924737E-3</v>
          </cell>
          <cell r="V107">
            <v>7.3814005625938497E-3</v>
          </cell>
          <cell r="W107">
            <v>7.3650415665596491E-3</v>
          </cell>
          <cell r="X107">
            <v>6.144689807812063E-3</v>
          </cell>
          <cell r="Z107">
            <v>7.6379256705622423E-3</v>
          </cell>
          <cell r="AA107">
            <v>6.6420733481243549E-3</v>
          </cell>
          <cell r="AB107">
            <v>3.7781196799067762E-3</v>
          </cell>
          <cell r="AC107">
            <v>6.7515432098765446E-3</v>
          </cell>
          <cell r="AD107">
            <v>6.4800072652079549E-3</v>
          </cell>
          <cell r="AE107">
            <v>7.0186760622281278E-3</v>
          </cell>
          <cell r="AF107">
            <v>7.6395145278924737E-3</v>
          </cell>
          <cell r="AG107">
            <v>6.8950806112894093E-3</v>
          </cell>
          <cell r="AH107">
            <v>7.6379256705622423E-3</v>
          </cell>
          <cell r="AI107">
            <v>5.2314312249206515E-3</v>
          </cell>
        </row>
        <row r="108">
          <cell r="P108">
            <v>6.1337820782498918E-3</v>
          </cell>
          <cell r="R108">
            <v>7.6332539051937971E-3</v>
          </cell>
          <cell r="S108">
            <v>9.6910363229433562E-3</v>
          </cell>
          <cell r="U108">
            <v>7.644607124801135E-3</v>
          </cell>
          <cell r="V108">
            <v>8.9042109938453021E-3</v>
          </cell>
          <cell r="W108">
            <v>8.9384049497161569E-3</v>
          </cell>
          <cell r="X108">
            <v>6.144689807812063E-3</v>
          </cell>
          <cell r="Z108">
            <v>7.6453728793382742E-3</v>
          </cell>
          <cell r="AA108">
            <v>6.6420733481243549E-3</v>
          </cell>
          <cell r="AB108">
            <v>3.7781196799067762E-3</v>
          </cell>
          <cell r="AC108">
            <v>6.7515432098765446E-3</v>
          </cell>
          <cell r="AD108">
            <v>6.4800072652079549E-3</v>
          </cell>
          <cell r="AE108">
            <v>8.4180818077603612E-3</v>
          </cell>
          <cell r="AF108">
            <v>7.644607124801135E-3</v>
          </cell>
          <cell r="AG108">
            <v>7.8504150759353113E-3</v>
          </cell>
          <cell r="AH108">
            <v>7.6453728793382742E-3</v>
          </cell>
          <cell r="AI108">
            <v>5.2314312249206515E-3</v>
          </cell>
        </row>
        <row r="109">
          <cell r="P109">
            <v>5.1409339503575907E-3</v>
          </cell>
          <cell r="R109">
            <v>7.6346380323967476E-3</v>
          </cell>
          <cell r="S109">
            <v>8.0574017554566248E-3</v>
          </cell>
          <cell r="U109">
            <v>7.6396441294424283E-3</v>
          </cell>
          <cell r="V109">
            <v>8.1005054884625907E-3</v>
          </cell>
          <cell r="W109">
            <v>7.8838262496544968E-3</v>
          </cell>
          <cell r="X109">
            <v>6.144689807812063E-3</v>
          </cell>
          <cell r="Z109">
            <v>7.6311995013203749E-3</v>
          </cell>
          <cell r="AA109">
            <v>6.6420733481243549E-3</v>
          </cell>
          <cell r="AB109">
            <v>3.7781196799067762E-3</v>
          </cell>
          <cell r="AC109">
            <v>6.7515432098765446E-3</v>
          </cell>
          <cell r="AD109">
            <v>6.4800072652079549E-3</v>
          </cell>
          <cell r="AE109">
            <v>7.1401850416209266E-3</v>
          </cell>
          <cell r="AF109">
            <v>7.6396441294424283E-3</v>
          </cell>
          <cell r="AG109">
            <v>7.2467973067454946E-3</v>
          </cell>
          <cell r="AH109">
            <v>7.6311995013203749E-3</v>
          </cell>
          <cell r="AI109">
            <v>5.2314312249206515E-3</v>
          </cell>
        </row>
        <row r="110">
          <cell r="P110">
            <v>4.4594026083298252E-3</v>
          </cell>
          <cell r="R110">
            <v>7.6347072387568955E-3</v>
          </cell>
          <cell r="S110">
            <v>3.0097701860088651E-3</v>
          </cell>
          <cell r="U110">
            <v>7.6163599376097065E-3</v>
          </cell>
          <cell r="V110">
            <v>5.0866098432774233E-3</v>
          </cell>
          <cell r="W110">
            <v>5.6428465120234722E-3</v>
          </cell>
          <cell r="X110">
            <v>6.144689807812063E-3</v>
          </cell>
          <cell r="Z110">
            <v>7.6254697415006536E-3</v>
          </cell>
          <cell r="AA110">
            <v>6.6420733481243549E-3</v>
          </cell>
          <cell r="AB110">
            <v>3.7781196799067762E-3</v>
          </cell>
          <cell r="AC110">
            <v>6.7515432098765446E-3</v>
          </cell>
          <cell r="AD110">
            <v>6.4800072652079549E-3</v>
          </cell>
          <cell r="AE110">
            <v>3.9071536179799563E-3</v>
          </cell>
          <cell r="AF110">
            <v>7.6163599376097065E-3</v>
          </cell>
          <cell r="AG110">
            <v>5.743130882827515E-3</v>
          </cell>
          <cell r="AH110">
            <v>7.6254697415006536E-3</v>
          </cell>
          <cell r="AI110">
            <v>5.2314312249206515E-3</v>
          </cell>
        </row>
        <row r="111">
          <cell r="P111">
            <v>1.2797644089188046E-2</v>
          </cell>
          <cell r="R111">
            <v>7.6345619054005859E-3</v>
          </cell>
          <cell r="S111">
            <v>1.3226749252753727E-2</v>
          </cell>
          <cell r="U111">
            <v>7.6602729039966302E-3</v>
          </cell>
          <cell r="V111">
            <v>1.2108457942936902E-2</v>
          </cell>
          <cell r="W111">
            <v>1.0758403674016117E-2</v>
          </cell>
          <cell r="X111">
            <v>1.2444607911550774E-2</v>
          </cell>
          <cell r="Z111">
            <v>7.6620348237109734E-3</v>
          </cell>
          <cell r="AA111">
            <v>1.0319215302186609E-2</v>
          </cell>
          <cell r="AB111">
            <v>1.4793842120116894E-2</v>
          </cell>
          <cell r="AC111">
            <v>1.2345679012345682E-2</v>
          </cell>
          <cell r="AD111">
            <v>1.1664013077374318E-2</v>
          </cell>
          <cell r="AE111">
            <v>1.253879896894871E-2</v>
          </cell>
          <cell r="AF111">
            <v>7.6602729039966302E-3</v>
          </cell>
          <cell r="AG111">
            <v>1.164001932778538E-2</v>
          </cell>
          <cell r="AH111">
            <v>7.6620348237109734E-3</v>
          </cell>
          <cell r="AI111">
            <v>1.3135695939551337E-2</v>
          </cell>
        </row>
        <row r="112">
          <cell r="P112">
            <v>2.4459402608329815E-2</v>
          </cell>
          <cell r="R112">
            <v>7.6354269849024303E-3</v>
          </cell>
          <cell r="S112">
            <v>1.5538708538682607E-2</v>
          </cell>
          <cell r="U112">
            <v>7.6642780743521287E-3</v>
          </cell>
          <cell r="V112">
            <v>1.4096571561515187E-2</v>
          </cell>
          <cell r="W112">
            <v>1.4317606786724215E-2</v>
          </cell>
          <cell r="X112">
            <v>1.2444607911550774E-2</v>
          </cell>
          <cell r="Z112">
            <v>7.6765966728819983E-3</v>
          </cell>
          <cell r="AA112">
            <v>1.0319215302186609E-2</v>
          </cell>
          <cell r="AB112">
            <v>1.4793842120116894E-2</v>
          </cell>
          <cell r="AC112">
            <v>1.2345679012345682E-2</v>
          </cell>
          <cell r="AD112">
            <v>1.1664013077374318E-2</v>
          </cell>
          <cell r="AE112">
            <v>1.7424588604198751E-2</v>
          </cell>
          <cell r="AF112">
            <v>7.6642780743521287E-3</v>
          </cell>
          <cell r="AG112">
            <v>1.355466218535414E-2</v>
          </cell>
          <cell r="AH112">
            <v>7.6765966728819983E-3</v>
          </cell>
          <cell r="AI112">
            <v>1.3135695939551337E-2</v>
          </cell>
        </row>
        <row r="113">
          <cell r="P113">
            <v>8.1447202355910756E-3</v>
          </cell>
          <cell r="R113">
            <v>7.6352608896380764E-3</v>
          </cell>
          <cell r="S113">
            <v>9.6943447902208719E-3</v>
          </cell>
          <cell r="U113">
            <v>7.6493034884032021E-3</v>
          </cell>
          <cell r="V113">
            <v>8.5975338931071638E-3</v>
          </cell>
          <cell r="W113">
            <v>7.5436395722152539E-3</v>
          </cell>
          <cell r="X113">
            <v>1.2444607911550774E-2</v>
          </cell>
          <cell r="Z113">
            <v>7.6557789486502003E-3</v>
          </cell>
          <cell r="AA113">
            <v>1.0319215302186609E-2</v>
          </cell>
          <cell r="AB113">
            <v>1.4793842120116894E-2</v>
          </cell>
          <cell r="AC113">
            <v>1.2345679012345682E-2</v>
          </cell>
          <cell r="AD113">
            <v>1.1664013077374318E-2</v>
          </cell>
          <cell r="AE113">
            <v>9.0235490337736528E-3</v>
          </cell>
          <cell r="AF113">
            <v>7.6493034884032021E-3</v>
          </cell>
          <cell r="AG113">
            <v>9.620451422333174E-3</v>
          </cell>
          <cell r="AH113">
            <v>7.6557789486502003E-3</v>
          </cell>
          <cell r="AI113">
            <v>1.3135695939551337E-2</v>
          </cell>
        </row>
        <row r="114">
          <cell r="P114">
            <v>1.2671434581405126E-2</v>
          </cell>
          <cell r="R114">
            <v>7.6339113656151989E-3</v>
          </cell>
          <cell r="S114">
            <v>1.1980146281716684E-2</v>
          </cell>
          <cell r="U114">
            <v>7.6518292817976232E-3</v>
          </cell>
          <cell r="V114">
            <v>9.7184915716672596E-3</v>
          </cell>
          <cell r="W114">
            <v>8.8406012799523738E-3</v>
          </cell>
          <cell r="X114">
            <v>1.2444607911550774E-2</v>
          </cell>
          <cell r="Z114">
            <v>7.6618832010117346E-3</v>
          </cell>
          <cell r="AA114">
            <v>1.0319215302186609E-2</v>
          </cell>
          <cell r="AB114">
            <v>1.4793842120116894E-2</v>
          </cell>
          <cell r="AC114">
            <v>1.2345679012345682E-2</v>
          </cell>
          <cell r="AD114">
            <v>1.1664013077374318E-2</v>
          </cell>
          <cell r="AE114">
            <v>1.1752909280013067E-2</v>
          </cell>
          <cell r="AF114">
            <v>7.6518292817976232E-3</v>
          </cell>
          <cell r="AG114">
            <v>1.0385227901694556E-2</v>
          </cell>
          <cell r="AH114">
            <v>7.6618832010117346E-3</v>
          </cell>
          <cell r="AI114">
            <v>1.3135695939551337E-2</v>
          </cell>
        </row>
        <row r="115">
          <cell r="P115">
            <v>1.057635675220866E-2</v>
          </cell>
          <cell r="R115">
            <v>7.6335653338144606E-3</v>
          </cell>
          <cell r="S115">
            <v>1.2133367006012082E-2</v>
          </cell>
          <cell r="U115">
            <v>7.6522052523182449E-3</v>
          </cell>
          <cell r="V115">
            <v>1.0828874177788111E-2</v>
          </cell>
          <cell r="W115">
            <v>1.0643590670380371E-2</v>
          </cell>
          <cell r="X115">
            <v>1.2444607911550774E-2</v>
          </cell>
          <cell r="Z115">
            <v>7.657452745817782E-3</v>
          </cell>
          <cell r="AA115">
            <v>1.0319215302186609E-2</v>
          </cell>
          <cell r="AB115">
            <v>1.4793842120116894E-2</v>
          </cell>
          <cell r="AC115">
            <v>1.2345679012345682E-2</v>
          </cell>
          <cell r="AD115">
            <v>1.1664013077374318E-2</v>
          </cell>
          <cell r="AE115">
            <v>1.1216283762651293E-2</v>
          </cell>
          <cell r="AF115">
            <v>7.6522052523182449E-3</v>
          </cell>
          <cell r="AG115">
            <v>1.1372602487213366E-2</v>
          </cell>
          <cell r="AH115">
            <v>7.657452745817782E-3</v>
          </cell>
          <cell r="AI115">
            <v>1.3135695939551337E-2</v>
          </cell>
        </row>
        <row r="116">
          <cell r="P116">
            <v>9.6928901977282236E-3</v>
          </cell>
          <cell r="R116">
            <v>7.6334338417301806E-3</v>
          </cell>
          <cell r="S116">
            <v>1.3393481365735106E-2</v>
          </cell>
          <cell r="U116">
            <v>7.6576909143894287E-3</v>
          </cell>
          <cell r="V116">
            <v>1.3070789534908306E-2</v>
          </cell>
          <cell r="W116">
            <v>1.1268683690174983E-2</v>
          </cell>
          <cell r="X116">
            <v>1.0792402436404327E-2</v>
          </cell>
          <cell r="Z116">
            <v>7.6599724153123246E-3</v>
          </cell>
          <cell r="AA116">
            <v>9.6244584508077442E-3</v>
          </cell>
          <cell r="AB116">
            <v>1.2636217146290615E-2</v>
          </cell>
          <cell r="AC116">
            <v>7.1373456790123462E-3</v>
          </cell>
          <cell r="AD116">
            <v>8.5860096264005394E-3</v>
          </cell>
          <cell r="AE116">
            <v>1.1707299262932548E-2</v>
          </cell>
          <cell r="AF116">
            <v>7.6576909143894287E-3</v>
          </cell>
          <cell r="AG116">
            <v>1.1389102221276644E-2</v>
          </cell>
          <cell r="AH116">
            <v>7.6599724153123246E-3</v>
          </cell>
          <cell r="AI116">
            <v>1.0442936896404364E-2</v>
          </cell>
        </row>
        <row r="117">
          <cell r="P117">
            <v>3.1215818258308776E-3</v>
          </cell>
          <cell r="R117">
            <v>7.6338560005270806E-3</v>
          </cell>
          <cell r="S117">
            <v>9.3496530367790098E-3</v>
          </cell>
          <cell r="U117">
            <v>7.6402759157359942E-3</v>
          </cell>
          <cell r="V117">
            <v>9.5069901228823361E-3</v>
          </cell>
          <cell r="W117">
            <v>8.8788722811642875E-3</v>
          </cell>
          <cell r="X117">
            <v>1.0792402436404327E-2</v>
          </cell>
          <cell r="Z117">
            <v>7.6585109354490076E-3</v>
          </cell>
          <cell r="AA117">
            <v>9.6244584508077442E-3</v>
          </cell>
          <cell r="AB117">
            <v>1.2636217146290615E-2</v>
          </cell>
          <cell r="AC117">
            <v>7.1373456790123462E-3</v>
          </cell>
          <cell r="AD117">
            <v>8.5860096264005394E-3</v>
          </cell>
          <cell r="AE117">
            <v>7.309651969869377E-3</v>
          </cell>
          <cell r="AF117">
            <v>7.6402759157359942E-3</v>
          </cell>
          <cell r="AG117">
            <v>9.7263958529935392E-3</v>
          </cell>
          <cell r="AH117">
            <v>7.6585109354490076E-3</v>
          </cell>
          <cell r="AI117">
            <v>1.0442936896404364E-2</v>
          </cell>
        </row>
        <row r="118">
          <cell r="P118">
            <v>5.3596970971813178E-3</v>
          </cell>
          <cell r="R118">
            <v>7.633648381446638E-3</v>
          </cell>
          <cell r="S118">
            <v>5.8657458941432823E-3</v>
          </cell>
          <cell r="U118">
            <v>7.6456569488667593E-3</v>
          </cell>
          <cell r="V118">
            <v>7.3814005625938497E-3</v>
          </cell>
          <cell r="W118">
            <v>7.6839665766589415E-3</v>
          </cell>
          <cell r="X118">
            <v>1.0792402436404327E-2</v>
          </cell>
          <cell r="Z118">
            <v>7.6509546176291871E-3</v>
          </cell>
          <cell r="AA118">
            <v>9.6244584508077442E-3</v>
          </cell>
          <cell r="AB118">
            <v>1.2636217146290615E-2</v>
          </cell>
          <cell r="AC118">
            <v>7.1373456790123462E-3</v>
          </cell>
          <cell r="AD118">
            <v>8.5860096264005394E-3</v>
          </cell>
          <cell r="AE118">
            <v>5.8907215037850283E-3</v>
          </cell>
          <cell r="AF118">
            <v>7.6456569488667593E-3</v>
          </cell>
          <cell r="AG118">
            <v>8.8368903887494545E-3</v>
          </cell>
          <cell r="AH118">
            <v>7.6509546176291871E-3</v>
          </cell>
          <cell r="AI118">
            <v>1.0442936896404364E-2</v>
          </cell>
        </row>
        <row r="119">
          <cell r="P119">
            <v>9.1543962978544342E-3</v>
          </cell>
          <cell r="R119">
            <v>7.6329840003892214E-3</v>
          </cell>
          <cell r="S119">
            <v>1.3600365479712634E-2</v>
          </cell>
          <cell r="U119">
            <v>7.6576185738270958E-3</v>
          </cell>
          <cell r="V119">
            <v>1.1452803451703637E-2</v>
          </cell>
          <cell r="W119">
            <v>1.0367188994960985E-2</v>
          </cell>
          <cell r="X119">
            <v>1.057320744884648E-2</v>
          </cell>
          <cell r="Z119">
            <v>7.6607569685201004E-3</v>
          </cell>
          <cell r="AA119">
            <v>1.2923729628949717E-2</v>
          </cell>
          <cell r="AB119">
            <v>6.5092905328514332E-3</v>
          </cell>
          <cell r="AC119">
            <v>1.1959876543209878E-2</v>
          </cell>
          <cell r="AD119">
            <v>1.1340012714113923E-2</v>
          </cell>
          <cell r="AE119">
            <v>1.1669836577222831E-2</v>
          </cell>
          <cell r="AF119">
            <v>7.6576185738270958E-3</v>
          </cell>
          <cell r="AG119">
            <v>1.063068040135455E-2</v>
          </cell>
          <cell r="AH119">
            <v>7.6607569685201004E-3</v>
          </cell>
          <cell r="AI119">
            <v>9.349748942634975E-3</v>
          </cell>
        </row>
        <row r="120">
          <cell r="P120">
            <v>3.357172907025661E-3</v>
          </cell>
          <cell r="R120">
            <v>7.6342573974159363E-3</v>
          </cell>
          <cell r="S120">
            <v>7.3185004245398082E-3</v>
          </cell>
          <cell r="U120">
            <v>7.6367140268266782E-3</v>
          </cell>
          <cell r="V120">
            <v>1.0004018527526909E-2</v>
          </cell>
          <cell r="W120">
            <v>8.1729849254778553E-3</v>
          </cell>
          <cell r="X120">
            <v>1.057320744884648E-2</v>
          </cell>
          <cell r="Z120">
            <v>7.656255844004322E-3</v>
          </cell>
          <cell r="AA120">
            <v>1.2923729628949717E-2</v>
          </cell>
          <cell r="AB120">
            <v>6.5092905328514332E-3</v>
          </cell>
          <cell r="AC120">
            <v>1.1959876543209878E-2</v>
          </cell>
          <cell r="AD120">
            <v>1.1340012714113923E-2</v>
          </cell>
          <cell r="AE120">
            <v>6.1616778665731769E-3</v>
          </cell>
          <cell r="AF120">
            <v>7.6367140268266782E-3</v>
          </cell>
          <cell r="AG120">
            <v>9.4125722076106345E-3</v>
          </cell>
          <cell r="AH120">
            <v>7.656255844004322E-3</v>
          </cell>
          <cell r="AI120">
            <v>9.349748942634975E-3</v>
          </cell>
        </row>
        <row r="121">
          <cell r="P121">
            <v>1.514514093395035E-3</v>
          </cell>
          <cell r="R121">
            <v>7.6336206989025789E-3</v>
          </cell>
          <cell r="S121">
            <v>4.867144483155849E-3</v>
          </cell>
          <cell r="U121">
            <v>7.6357757995900409E-3</v>
          </cell>
          <cell r="V121">
            <v>5.9643408557348582E-3</v>
          </cell>
          <cell r="W121">
            <v>5.1070524950566623E-3</v>
          </cell>
          <cell r="X121">
            <v>1.057320744884648E-2</v>
          </cell>
          <cell r="Z121">
            <v>7.6473465133410721E-3</v>
          </cell>
          <cell r="AA121">
            <v>1.2923729628949717E-2</v>
          </cell>
          <cell r="AB121">
            <v>6.5092905328514332E-3</v>
          </cell>
          <cell r="AC121">
            <v>1.1959876543209878E-2</v>
          </cell>
          <cell r="AD121">
            <v>1.1340012714113923E-2</v>
          </cell>
          <cell r="AE121">
            <v>4.1380029878022775E-3</v>
          </cell>
          <cell r="AF121">
            <v>7.6357757995900409E-3</v>
          </cell>
          <cell r="AG121">
            <v>7.3695355520479178E-3</v>
          </cell>
          <cell r="AH121">
            <v>7.6473465133410721E-3</v>
          </cell>
          <cell r="AI121">
            <v>9.349748942634975E-3</v>
          </cell>
        </row>
        <row r="122">
          <cell r="P122">
            <v>3.6853176272612516E-3</v>
          </cell>
          <cell r="R122">
            <v>7.6336206989025789E-3</v>
          </cell>
          <cell r="S122">
            <v>6.7189386739154701E-3</v>
          </cell>
          <cell r="U122">
            <v>7.6645395517464347E-3</v>
          </cell>
          <cell r="V122">
            <v>5.6259385376789799E-3</v>
          </cell>
          <cell r="W122">
            <v>6.4890608721535946E-3</v>
          </cell>
          <cell r="X122">
            <v>1.057320744884648E-2</v>
          </cell>
          <cell r="Z122">
            <v>7.6382348751098429E-3</v>
          </cell>
          <cell r="AA122">
            <v>1.2923729628949717E-2</v>
          </cell>
          <cell r="AB122">
            <v>6.5092905328514332E-3</v>
          </cell>
          <cell r="AC122">
            <v>1.1959876543209878E-2</v>
          </cell>
          <cell r="AD122">
            <v>1.1340012714113923E-2</v>
          </cell>
          <cell r="AE122">
            <v>5.9003205624179149E-3</v>
          </cell>
          <cell r="AF122">
            <v>7.6645395517464347E-3</v>
          </cell>
          <cell r="AG122">
            <v>7.9251006728470793E-3</v>
          </cell>
          <cell r="AH122">
            <v>7.6382348751098429E-3</v>
          </cell>
          <cell r="AI122">
            <v>9.349748942634975E-3</v>
          </cell>
        </row>
        <row r="123">
          <cell r="P123">
            <v>9.8190997055111421E-3</v>
          </cell>
          <cell r="R123">
            <v>7.6348387308411755E-3</v>
          </cell>
          <cell r="S123">
            <v>1.0011704944063513E-2</v>
          </cell>
          <cell r="U123">
            <v>7.660545030643541E-3</v>
          </cell>
          <cell r="V123">
            <v>8.9253611387237943E-3</v>
          </cell>
          <cell r="W123">
            <v>8.9936852848000338E-3</v>
          </cell>
          <cell r="X123">
            <v>8.1717572774610905E-3</v>
          </cell>
          <cell r="Z123">
            <v>7.6530111018981986E-3</v>
          </cell>
          <cell r="AA123">
            <v>9.8894388400523371E-3</v>
          </cell>
          <cell r="AB123">
            <v>7.5198237484409569E-3</v>
          </cell>
          <cell r="AC123">
            <v>1.215277777777778E-2</v>
          </cell>
          <cell r="AD123">
            <v>1.1178012532483723E-2</v>
          </cell>
          <cell r="AE123">
            <v>9.7162367511755676E-3</v>
          </cell>
          <cell r="AF123">
            <v>7.660545030643541E-3</v>
          </cell>
          <cell r="AG123">
            <v>8.6637337641830309E-3</v>
          </cell>
          <cell r="AH123">
            <v>7.6530111018981986E-3</v>
          </cell>
          <cell r="AI123">
            <v>9.3708301711294059E-3</v>
          </cell>
        </row>
        <row r="124">
          <cell r="P124">
            <v>7.8838872528397084E-3</v>
          </cell>
          <cell r="R124">
            <v>7.6347695244810276E-3</v>
          </cell>
          <cell r="S124">
            <v>1.3421569736110936E-2</v>
          </cell>
          <cell r="U124">
            <v>7.6583793886707283E-3</v>
          </cell>
          <cell r="V124">
            <v>1.2319959391721827E-2</v>
          </cell>
          <cell r="W124">
            <v>1.1966066378925435E-2</v>
          </cell>
          <cell r="X124">
            <v>8.1717572774610905E-3</v>
          </cell>
          <cell r="Z124">
            <v>7.6555431099248131E-3</v>
          </cell>
          <cell r="AA124">
            <v>9.8894388400523371E-3</v>
          </cell>
          <cell r="AB124">
            <v>7.5198237484409569E-3</v>
          </cell>
          <cell r="AC124">
            <v>1.215277777777778E-2</v>
          </cell>
          <cell r="AD124">
            <v>1.1178012532483723E-2</v>
          </cell>
          <cell r="AE124">
            <v>1.1181584969966575E-2</v>
          </cell>
          <cell r="AF124">
            <v>7.6583793886707283E-3</v>
          </cell>
          <cell r="AG124">
            <v>1.0556139677062079E-2</v>
          </cell>
          <cell r="AH124">
            <v>7.6555431099248131E-3</v>
          </cell>
          <cell r="AI124">
            <v>9.3708301711294059E-3</v>
          </cell>
        </row>
        <row r="125">
          <cell r="P125">
            <v>1.0509045014724437E-2</v>
          </cell>
          <cell r="R125">
            <v>7.6354615880825033E-3</v>
          </cell>
          <cell r="S125">
            <v>1.4243462526108365E-2</v>
          </cell>
          <cell r="U125">
            <v>7.6613108958961508E-3</v>
          </cell>
          <cell r="V125">
            <v>1.3832194750534033E-2</v>
          </cell>
          <cell r="W125">
            <v>1.2603916399124018E-2</v>
          </cell>
          <cell r="X125">
            <v>8.1717572774610905E-3</v>
          </cell>
          <cell r="Z125">
            <v>7.6649368009291856E-3</v>
          </cell>
          <cell r="AA125">
            <v>9.8894388400523371E-3</v>
          </cell>
          <cell r="AB125">
            <v>7.5198237484409569E-3</v>
          </cell>
          <cell r="AC125">
            <v>1.215277777777778E-2</v>
          </cell>
          <cell r="AD125">
            <v>1.1178012532483723E-2</v>
          </cell>
          <cell r="AE125">
            <v>1.2462337178890601E-2</v>
          </cell>
          <cell r="AF125">
            <v>7.6613108958961508E-3</v>
          </cell>
          <cell r="AG125">
            <v>1.1094850978946405E-2</v>
          </cell>
          <cell r="AH125">
            <v>7.6649368009291856E-3</v>
          </cell>
          <cell r="AI125">
            <v>9.3708301711294059E-3</v>
          </cell>
        </row>
        <row r="126">
          <cell r="P126">
            <v>5.7383256205300768E-3</v>
          </cell>
          <cell r="R126">
            <v>7.6346795562128363E-3</v>
          </cell>
          <cell r="S126">
            <v>1.1745125011550967E-2</v>
          </cell>
          <cell r="U126">
            <v>7.6516576581151397E-3</v>
          </cell>
          <cell r="V126">
            <v>1.0035743744844646E-2</v>
          </cell>
          <cell r="W126">
            <v>9.4231709650670799E-3</v>
          </cell>
          <cell r="X126">
            <v>8.1717572774610905E-3</v>
          </cell>
          <cell r="Z126">
            <v>7.6494484120462518E-3</v>
          </cell>
          <cell r="AA126">
            <v>9.8894388400523371E-3</v>
          </cell>
          <cell r="AB126">
            <v>7.5198237484409569E-3</v>
          </cell>
          <cell r="AC126">
            <v>1.215277777777778E-2</v>
          </cell>
          <cell r="AD126">
            <v>1.1178012532483723E-2</v>
          </cell>
          <cell r="AE126">
            <v>9.5320406487108874E-3</v>
          </cell>
          <cell r="AF126">
            <v>7.6516576581151397E-3</v>
          </cell>
          <cell r="AG126">
            <v>9.0420568161890449E-3</v>
          </cell>
          <cell r="AH126">
            <v>7.6494484120462518E-3</v>
          </cell>
          <cell r="AI126">
            <v>9.3708301711294059E-3</v>
          </cell>
        </row>
        <row r="127">
          <cell r="P127">
            <v>2.5073622212873356E-3</v>
          </cell>
          <cell r="R127">
            <v>7.6330116829332805E-3</v>
          </cell>
          <cell r="S127">
            <v>6.5408576995408902E-3</v>
          </cell>
          <cell r="U127">
            <v>7.6300565968650926E-3</v>
          </cell>
          <cell r="V127">
            <v>6.1546921596412904E-3</v>
          </cell>
          <cell r="W127">
            <v>5.7831735164671607E-3</v>
          </cell>
          <cell r="X127">
            <v>8.1717572774610905E-3</v>
          </cell>
          <cell r="Z127">
            <v>7.6451153810610786E-3</v>
          </cell>
          <cell r="AA127">
            <v>9.8894388400523371E-3</v>
          </cell>
          <cell r="AB127">
            <v>7.5198237484409569E-3</v>
          </cell>
          <cell r="AC127">
            <v>1.215277777777778E-2</v>
          </cell>
          <cell r="AD127">
            <v>1.1178012532483723E-2</v>
          </cell>
          <cell r="AE127">
            <v>5.4400244544040629E-3</v>
          </cell>
          <cell r="AF127">
            <v>7.6300565968650926E-3</v>
          </cell>
          <cell r="AG127">
            <v>6.7713025320299347E-3</v>
          </cell>
          <cell r="AH127">
            <v>7.6451153810610786E-3</v>
          </cell>
          <cell r="AI127">
            <v>9.3708301711294059E-3</v>
          </cell>
        </row>
        <row r="128">
          <cell r="P128">
            <v>8.9440471182162338E-3</v>
          </cell>
          <cell r="R128">
            <v>7.6314476191939465E-3</v>
          </cell>
          <cell r="S128">
            <v>5.8848368667909698E-3</v>
          </cell>
          <cell r="U128">
            <v>7.6374383521299804E-3</v>
          </cell>
          <cell r="V128">
            <v>6.0595165076880748E-3</v>
          </cell>
          <cell r="W128">
            <v>6.6889205451491508E-3</v>
          </cell>
          <cell r="X128">
            <v>8.1717572774610905E-3</v>
          </cell>
          <cell r="Z128">
            <v>7.6573140161258048E-3</v>
          </cell>
          <cell r="AA128">
            <v>9.8894388400523371E-3</v>
          </cell>
          <cell r="AB128">
            <v>7.5198237484409569E-3</v>
          </cell>
          <cell r="AC128">
            <v>1.215277777777778E-2</v>
          </cell>
          <cell r="AD128">
            <v>1.1178012532483723E-2</v>
          </cell>
          <cell r="AE128">
            <v>6.9772610174588462E-3</v>
          </cell>
          <cell r="AF128">
            <v>7.6374383521299804E-3</v>
          </cell>
          <cell r="AG128">
            <v>7.1568334262889777E-3</v>
          </cell>
          <cell r="AH128">
            <v>7.6573140161258048E-3</v>
          </cell>
          <cell r="AI128">
            <v>9.3708301711294059E-3</v>
          </cell>
        </row>
        <row r="129">
          <cell r="P129">
            <v>7.9764408918805169E-3</v>
          </cell>
          <cell r="R129">
            <v>7.6338283179830215E-3</v>
          </cell>
          <cell r="S129">
            <v>1.1188880597121994E-2</v>
          </cell>
          <cell r="U129">
            <v>7.6473765803717255E-3</v>
          </cell>
          <cell r="V129">
            <v>8.7138596899388708E-3</v>
          </cell>
          <cell r="W129">
            <v>8.8406012799523738E-3</v>
          </cell>
          <cell r="X129">
            <v>8.1717572774610905E-3</v>
          </cell>
          <cell r="Z129">
            <v>7.6557228707806848E-3</v>
          </cell>
          <cell r="AA129">
            <v>9.8894388400523371E-3</v>
          </cell>
          <cell r="AB129">
            <v>7.5198237484409569E-3</v>
          </cell>
          <cell r="AC129">
            <v>1.215277777777778E-2</v>
          </cell>
          <cell r="AD129">
            <v>1.1178012532483723E-2</v>
          </cell>
          <cell r="AE129">
            <v>9.8696434576356525E-3</v>
          </cell>
          <cell r="AF129">
            <v>7.6473765803717255E-3</v>
          </cell>
          <cell r="AG129">
            <v>8.5600658409944325E-3</v>
          </cell>
          <cell r="AH129">
            <v>7.6557228707806848E-3</v>
          </cell>
          <cell r="AI129">
            <v>9.3708301711294059E-3</v>
          </cell>
        </row>
        <row r="130">
          <cell r="P130">
            <v>3.5591081194783322E-3</v>
          </cell>
          <cell r="R130">
            <v>7.6329424765731327E-3</v>
          </cell>
          <cell r="S130">
            <v>5.338031050114227E-3</v>
          </cell>
          <cell r="U130">
            <v>7.614692397455344E-3</v>
          </cell>
          <cell r="V130">
            <v>6.218142594276767E-3</v>
          </cell>
          <cell r="W130">
            <v>6.5018178725575653E-3</v>
          </cell>
          <cell r="X130">
            <v>8.1717572774610905E-3</v>
          </cell>
          <cell r="Z130">
            <v>7.6204849278505597E-3</v>
          </cell>
          <cell r="AA130">
            <v>9.8894388400523371E-3</v>
          </cell>
          <cell r="AB130">
            <v>7.5198237484409569E-3</v>
          </cell>
          <cell r="AC130">
            <v>1.215277777777778E-2</v>
          </cell>
          <cell r="AD130">
            <v>1.1178012532483723E-2</v>
          </cell>
          <cell r="AE130">
            <v>5.0338453135693488E-3</v>
          </cell>
          <cell r="AF130">
            <v>7.614692397455344E-3</v>
          </cell>
          <cell r="AG130">
            <v>7.1007061678153849E-3</v>
          </cell>
          <cell r="AH130">
            <v>7.6204849278505597E-3</v>
          </cell>
          <cell r="AI130">
            <v>9.3708301711294059E-3</v>
          </cell>
        </row>
        <row r="131">
          <cell r="P131">
            <v>2.1792175010517446E-3</v>
          </cell>
          <cell r="R131">
            <v>7.6336899052627258E-3</v>
          </cell>
          <cell r="S131">
            <v>4.3358444123053194E-3</v>
          </cell>
          <cell r="U131">
            <v>7.6175504238500955E-3</v>
          </cell>
          <cell r="V131">
            <v>5.636513610118226E-3</v>
          </cell>
          <cell r="W131">
            <v>5.9149958539748684E-3</v>
          </cell>
          <cell r="X131">
            <v>5.1806067221828603E-3</v>
          </cell>
          <cell r="Z131">
            <v>7.640548215632148E-3</v>
          </cell>
          <cell r="AA131">
            <v>4.9560550156314649E-3</v>
          </cell>
          <cell r="AB131">
            <v>7.283122274519086E-4</v>
          </cell>
          <cell r="AC131">
            <v>5.0154320987654327E-3</v>
          </cell>
          <cell r="AD131">
            <v>5.0220056305361645E-3</v>
          </cell>
          <cell r="AE131">
            <v>4.0186408882249879E-3</v>
          </cell>
          <cell r="AF131">
            <v>7.6175504238500955E-3</v>
          </cell>
          <cell r="AG131">
            <v>5.5833956324325097E-3</v>
          </cell>
          <cell r="AH131">
            <v>7.640548215632148E-3</v>
          </cell>
          <cell r="AI131">
            <v>2.8897023671300669E-3</v>
          </cell>
        </row>
        <row r="132">
          <cell r="P132">
            <v>1.2730332351703821E-2</v>
          </cell>
          <cell r="R132">
            <v>7.6354754293545329E-3</v>
          </cell>
          <cell r="S132">
            <v>1.2259925338650777E-2</v>
          </cell>
          <cell r="U132">
            <v>7.6565057886034691E-3</v>
          </cell>
          <cell r="V132">
            <v>8.2908567923690221E-3</v>
          </cell>
          <cell r="W132">
            <v>7.7179852444028653E-3</v>
          </cell>
          <cell r="X132">
            <v>5.1806067221828603E-3</v>
          </cell>
          <cell r="Z132">
            <v>7.6494067330218742E-3</v>
          </cell>
          <cell r="AA132">
            <v>4.9560550156314649E-3</v>
          </cell>
          <cell r="AB132">
            <v>7.283122274519086E-4</v>
          </cell>
          <cell r="AC132">
            <v>5.0154320987654327E-3</v>
          </cell>
          <cell r="AD132">
            <v>5.0220056305361645E-3</v>
          </cell>
          <cell r="AE132">
            <v>1.1938602451637066E-2</v>
          </cell>
          <cell r="AF132">
            <v>7.6565057886034691E-3</v>
          </cell>
          <cell r="AG132">
            <v>6.8320081531811541E-3</v>
          </cell>
          <cell r="AH132">
            <v>7.6494067330218742E-3</v>
          </cell>
          <cell r="AI132">
            <v>2.8897023671300669E-3</v>
          </cell>
        </row>
        <row r="133">
          <cell r="P133">
            <v>9.6339924274295267E-3</v>
          </cell>
          <cell r="R133">
            <v>7.6335860957225049E-3</v>
          </cell>
          <cell r="S133">
            <v>1.0176682967453672E-2</v>
          </cell>
          <cell r="U133">
            <v>7.648706034231241E-3</v>
          </cell>
          <cell r="V133">
            <v>7.8255536050421907E-3</v>
          </cell>
          <cell r="W133">
            <v>7.8710692492505244E-3</v>
          </cell>
          <cell r="X133">
            <v>5.1806067221828603E-3</v>
          </cell>
          <cell r="Z133">
            <v>7.6439594929017703E-3</v>
          </cell>
          <cell r="AA133">
            <v>4.9560550156314649E-3</v>
          </cell>
          <cell r="AB133">
            <v>7.283122274519086E-4</v>
          </cell>
          <cell r="AC133">
            <v>5.0154320987654327E-3</v>
          </cell>
          <cell r="AD133">
            <v>5.0220056305361645E-3</v>
          </cell>
          <cell r="AE133">
            <v>9.7595661182733121E-3</v>
          </cell>
          <cell r="AF133">
            <v>7.648706034231241E-3</v>
          </cell>
          <cell r="AG133">
            <v>6.8211608170909233E-3</v>
          </cell>
          <cell r="AH133">
            <v>7.6439594929017703E-3</v>
          </cell>
          <cell r="AI133">
            <v>2.8897023671300669E-3</v>
          </cell>
        </row>
        <row r="134">
          <cell r="P134">
            <v>4.8380311316785834E-3</v>
          </cell>
          <cell r="R134">
            <v>7.633060127385384E-3</v>
          </cell>
          <cell r="S134">
            <v>6.2905449112210035E-3</v>
          </cell>
          <cell r="U134">
            <v>7.6335424604633889E-3</v>
          </cell>
          <cell r="V134">
            <v>6.4719443328186757E-3</v>
          </cell>
          <cell r="W134">
            <v>6.4210235366657454E-3</v>
          </cell>
          <cell r="X134">
            <v>5.1806067221828603E-3</v>
          </cell>
          <cell r="Z134">
            <v>7.6350232264175569E-3</v>
          </cell>
          <cell r="AA134">
            <v>4.9560550156314649E-3</v>
          </cell>
          <cell r="AB134">
            <v>7.283122274519086E-4</v>
          </cell>
          <cell r="AC134">
            <v>5.0154320987654327E-3</v>
          </cell>
          <cell r="AD134">
            <v>5.0220056305361645E-3</v>
          </cell>
          <cell r="AE134">
            <v>5.9890422989747148E-3</v>
          </cell>
          <cell r="AF134">
            <v>7.6335424604633889E-3</v>
          </cell>
          <cell r="AG134">
            <v>5.9491378126884801E-3</v>
          </cell>
          <cell r="AH134">
            <v>7.6350232264175569E-3</v>
          </cell>
          <cell r="AI134">
            <v>2.8897023671300669E-3</v>
          </cell>
        </row>
        <row r="135">
          <cell r="P135">
            <v>2.1371476651241049E-3</v>
          </cell>
          <cell r="R135">
            <v>7.6333231115539441E-3</v>
          </cell>
          <cell r="S135">
            <v>3.1922117585776234E-3</v>
          </cell>
          <cell r="U135">
            <v>7.5972893473127256E-3</v>
          </cell>
          <cell r="V135">
            <v>4.8751083944924998E-3</v>
          </cell>
          <cell r="W135">
            <v>5.4047158378160015E-3</v>
          </cell>
          <cell r="X135">
            <v>5.1806067221828603E-3</v>
          </cell>
          <cell r="Z135">
            <v>7.6246381629603748E-3</v>
          </cell>
          <cell r="AA135">
            <v>4.9560550156314649E-3</v>
          </cell>
          <cell r="AB135">
            <v>7.283122274519086E-4</v>
          </cell>
          <cell r="AC135">
            <v>5.0154320987654327E-3</v>
          </cell>
          <cell r="AD135">
            <v>5.0220056305361645E-3</v>
          </cell>
          <cell r="AE135">
            <v>3.3198036658391998E-3</v>
          </cell>
          <cell r="AF135">
            <v>7.5972893473127256E-3</v>
          </cell>
          <cell r="AG135">
            <v>5.228292950197274E-3</v>
          </cell>
          <cell r="AH135">
            <v>7.6246381629603748E-3</v>
          </cell>
          <cell r="AI135">
            <v>2.8897023671300669E-3</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3:U134" totalsRowShown="0" headerRowDxfId="24" dataDxfId="22" headerRowBorderDxfId="23" tableBorderDxfId="21">
  <autoFilter ref="A3:U134" xr:uid="{00000000-0009-0000-0100-000001000000}"/>
  <sortState xmlns:xlrd2="http://schemas.microsoft.com/office/spreadsheetml/2017/richdata2" ref="A4:U134">
    <sortCondition descending="1" ref="U4:U134"/>
  </sortState>
  <tableColumns count="21">
    <tableColumn id="1" xr3:uid="{00000000-0010-0000-0000-000001000000}" name="Ranking Vulnerabilidad" dataDxfId="20">
      <calculatedColumnFormula>_xlfn.RANK.EQ(U4,U$4:U$134)</calculatedColumnFormula>
    </tableColumn>
    <tableColumn id="2" xr3:uid="{00000000-0010-0000-0000-000002000000}" name="DISTRITO" dataDxfId="19"/>
    <tableColumn id="3" xr3:uid="{00000000-0010-0000-0000-000003000000}" name="BARRIO" dataDxfId="18"/>
    <tableColumn id="4" xr3:uid="{00000000-0010-0000-0000-000004000000}" name="Tasa Inmigrantes" dataDxfId="17"/>
    <tableColumn id="5" xr3:uid="{00000000-0010-0000-0000-000005000000}" name="Esperanza de Vida" dataDxfId="16"/>
    <tableColumn id="14" xr3:uid="{00000000-0010-0000-0000-00000E000000}" name="Sin Estudios o Primarios" dataDxfId="15" dataCellStyle="Porcentual 2"/>
    <tableColumn id="28" xr3:uid="{00000000-0010-0000-0000-00001C000000}" name="Renta media hogar" dataDxfId="14" dataCellStyle="Moneda 2"/>
    <tableColumn id="7" xr3:uid="{00000000-0010-0000-0000-000007000000}" name="Tasa Paro Absoluto" dataDxfId="13"/>
    <tableColumn id="8" xr3:uid="{00000000-0010-0000-0000-000008000000}" name="Tasa Paro mayores 45" dataDxfId="12" dataCellStyle="Porcentual 2"/>
    <tableColumn id="9" xr3:uid="{00000000-0010-0000-0000-000009000000}" name="Tasa de Parados Sin Prestación" dataDxfId="11" dataCellStyle="Porcentual 2"/>
    <tableColumn id="10" xr3:uid="{00000000-0010-0000-0000-00000A000000}" name="Valor Catastral" dataDxfId="10" dataCellStyle="Moneda 2"/>
    <tableColumn id="6" xr3:uid="{00000000-0010-0000-0000-000006000000}" name="Tasa demanda Dependientes" dataDxfId="9" dataCellStyle="Porcentual 2"/>
    <tableColumn id="29" xr3:uid="{00000000-0010-0000-0000-00001D000000}" name="Familas perceptoras renta mínima" dataDxfId="8" dataCellStyle="Millares"/>
    <tableColumn id="13" xr3:uid="{00000000-0010-0000-0000-00000D000000}" name="Tasa SAD Dependencia" dataDxfId="7" dataCellStyle="Porcentual 2"/>
    <tableColumn id="12" xr3:uid="{00000000-0010-0000-0000-00000C000000}" name="Tasa Teleasistencia Dependencia" dataDxfId="6" dataCellStyle="Porcentual 2"/>
    <tableColumn id="20" xr3:uid="{00000000-0010-0000-0000-000014000000}" name="Población" dataDxfId="5">
      <calculatedColumnFormula>('[1]Modelo AHP'!$U$37*[1]aux!P5)+('[1]Modelo AHP'!$U$38*[1]aux!R5)+('[1]Modelo AHP'!$U$39*[1]aux!S5)</calculatedColumnFormula>
    </tableColumn>
    <tableColumn id="21" xr3:uid="{00000000-0010-0000-0000-000015000000}" name="Estatus Socio-Económico" dataDxfId="4">
      <calculatedColumnFormula>[1]aux!U5</calculatedColumnFormula>
    </tableColumn>
    <tableColumn id="22" xr3:uid="{00000000-0010-0000-0000-000016000000}" name="Actividad Económica" dataDxfId="3">
      <calculatedColumnFormula>('[1]Modelo AHP'!$U$47*[1]aux!V5)+('[1]Modelo AHP'!$U$48*[1]aux!W5)+('[1]Modelo AHP'!$U$49*[1]aux!X5)</calculatedColumnFormula>
    </tableColumn>
    <tableColumn id="23" xr3:uid="{00000000-0010-0000-0000-000017000000}" name="Desarrollo Urbanístico" dataDxfId="2">
      <calculatedColumnFormula>[1]aux!Z5</calculatedColumnFormula>
    </tableColumn>
    <tableColumn id="11" xr3:uid="{00000000-0010-0000-0000-00000B000000}" name="Necesidades Asistenciales" dataDxfId="1">
      <calculatedColumnFormula>('[1]Modelo AHP'!$U$56*[1]aux!AA5)+('[1]Modelo AHP'!$U$57*[1]aux!AB5)+('[1]Modelo AHP'!$U$58*[1]aux!AC5)+('[1]Modelo AHP'!$U$59*[1]aux!AD5)</calculatedColumnFormula>
    </tableColumn>
    <tableColumn id="24" xr3:uid="{00000000-0010-0000-0000-000018000000}" name="Vulnerabilidad" dataDxfId="0">
      <calculatedColumnFormula>('[1]Modelo AHP'!$U$23*[1]aux!AE5)+('[1]Modelo AHP'!$U$24*[1]aux!AF5)+('[1]Modelo AHP'!$U$25*[1]aux!AG5)+('[1]Modelo AHP'!$U$26*[1]aux!AH5)+('[1]Modelo AHP'!$U$27*[1]aux!AI5)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iaa.inf.uc3m.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2:U89"/>
  <sheetViews>
    <sheetView showGridLines="0" tabSelected="1" zoomScale="80" zoomScaleNormal="80" workbookViewId="0">
      <selection activeCell="A3" sqref="A3"/>
    </sheetView>
  </sheetViews>
  <sheetFormatPr baseColWidth="10" defaultRowHeight="15.75"/>
  <cols>
    <col min="1" max="1" width="11" style="300"/>
    <col min="2" max="18" width="9.5" customWidth="1"/>
    <col min="21" max="21" width="14" customWidth="1"/>
  </cols>
  <sheetData>
    <row r="2" spans="1:21" ht="23.25">
      <c r="M2" s="229" t="s">
        <v>190</v>
      </c>
      <c r="N2" s="230"/>
      <c r="O2" s="230"/>
      <c r="P2" s="230"/>
      <c r="Q2" s="230"/>
      <c r="R2" s="230"/>
      <c r="S2" s="230"/>
    </row>
    <row r="3" spans="1:21" ht="23.25">
      <c r="M3" s="230"/>
      <c r="N3" s="230"/>
      <c r="O3" s="230"/>
      <c r="P3" s="231" t="s">
        <v>191</v>
      </c>
      <c r="Q3" s="230"/>
      <c r="R3" s="230"/>
      <c r="S3" s="230"/>
    </row>
    <row r="5" spans="1:21" ht="4.5" customHeight="1"/>
    <row r="6" spans="1:21" s="220" customFormat="1" ht="129.75" customHeight="1">
      <c r="A6" s="225" t="s">
        <v>342</v>
      </c>
      <c r="B6" s="312" t="s">
        <v>343</v>
      </c>
      <c r="C6" s="312"/>
      <c r="D6" s="312"/>
      <c r="E6" s="312"/>
      <c r="F6" s="312"/>
      <c r="G6" s="312"/>
      <c r="H6" s="312"/>
      <c r="I6" s="312"/>
      <c r="J6" s="312"/>
      <c r="K6" s="312"/>
      <c r="L6" s="312"/>
      <c r="M6" s="312"/>
      <c r="N6" s="312"/>
      <c r="O6" s="312"/>
      <c r="P6" s="312"/>
      <c r="Q6" s="312"/>
      <c r="R6" s="312"/>
      <c r="S6" s="312"/>
    </row>
    <row r="7" spans="1:21">
      <c r="A7" s="225"/>
      <c r="B7" s="226"/>
      <c r="C7" s="227"/>
      <c r="D7" s="227"/>
      <c r="E7" s="227"/>
      <c r="F7" s="227"/>
      <c r="G7" s="227"/>
      <c r="H7" s="227"/>
      <c r="I7" s="227"/>
      <c r="J7" s="227"/>
      <c r="K7" s="227"/>
      <c r="L7" s="227"/>
      <c r="M7" s="227"/>
      <c r="N7" s="227"/>
      <c r="O7" s="227"/>
      <c r="P7" s="227"/>
      <c r="Q7" s="227"/>
      <c r="R7" s="227"/>
      <c r="S7" s="227"/>
    </row>
    <row r="8" spans="1:21">
      <c r="A8" s="228"/>
      <c r="P8" s="77"/>
    </row>
    <row r="9" spans="1:21" ht="46.5">
      <c r="A9" s="301" t="s">
        <v>172</v>
      </c>
    </row>
    <row r="10" spans="1:21" ht="23.25">
      <c r="A10" s="302" t="s">
        <v>204</v>
      </c>
      <c r="B10" s="84"/>
      <c r="C10" s="84"/>
      <c r="D10" s="84"/>
      <c r="E10" s="84"/>
      <c r="F10" s="84"/>
      <c r="G10" s="84"/>
      <c r="H10" s="84"/>
      <c r="I10" s="84"/>
      <c r="J10" s="84"/>
      <c r="K10" s="84"/>
      <c r="L10" s="84"/>
      <c r="M10" s="84"/>
      <c r="N10" s="84"/>
      <c r="O10" s="84"/>
      <c r="P10" s="84"/>
      <c r="Q10" s="84"/>
      <c r="R10" s="84"/>
      <c r="S10" s="84"/>
      <c r="T10" s="84"/>
      <c r="U10" s="84"/>
    </row>
    <row r="11" spans="1:21" ht="18.75">
      <c r="A11" s="303" t="s">
        <v>173</v>
      </c>
    </row>
    <row r="12" spans="1:21" ht="18.75">
      <c r="A12" s="303" t="s">
        <v>184</v>
      </c>
    </row>
    <row r="13" spans="1:21" ht="18.75">
      <c r="A13" s="303" t="s">
        <v>185</v>
      </c>
    </row>
    <row r="14" spans="1:21" s="62" customFormat="1" ht="18.75">
      <c r="A14" s="303"/>
    </row>
    <row r="15" spans="1:21" s="62" customFormat="1" ht="18.75">
      <c r="A15" s="303" t="s">
        <v>181</v>
      </c>
    </row>
    <row r="16" spans="1:21" ht="18.75">
      <c r="A16" s="303" t="s">
        <v>174</v>
      </c>
    </row>
    <row r="18" spans="1:18">
      <c r="A18" s="304"/>
      <c r="B18" s="313" t="s">
        <v>162</v>
      </c>
      <c r="C18" s="313"/>
      <c r="D18" s="313"/>
      <c r="E18" s="313"/>
      <c r="F18" s="313"/>
      <c r="G18" s="313"/>
      <c r="H18" s="313"/>
      <c r="I18" s="313"/>
      <c r="J18" s="313"/>
      <c r="K18" s="313"/>
      <c r="L18" s="313"/>
      <c r="M18" s="313"/>
      <c r="N18" s="313"/>
      <c r="O18" s="313"/>
      <c r="P18" s="313"/>
      <c r="Q18" s="313"/>
      <c r="R18" s="313"/>
    </row>
    <row r="19" spans="1:18">
      <c r="A19" s="305"/>
      <c r="B19" s="314" t="s">
        <v>170</v>
      </c>
      <c r="C19" s="315"/>
      <c r="D19" s="315"/>
      <c r="E19" s="315"/>
      <c r="F19" s="315"/>
      <c r="G19" s="315"/>
      <c r="H19" s="315"/>
      <c r="I19" s="316"/>
      <c r="J19" s="71" t="s">
        <v>163</v>
      </c>
      <c r="K19" s="317" t="s">
        <v>169</v>
      </c>
      <c r="L19" s="318"/>
      <c r="M19" s="318"/>
      <c r="N19" s="318"/>
      <c r="O19" s="318"/>
      <c r="P19" s="318"/>
      <c r="Q19" s="318"/>
      <c r="R19" s="319"/>
    </row>
    <row r="20" spans="1:18" ht="16.5" thickBot="1">
      <c r="A20" s="63" t="s">
        <v>175</v>
      </c>
      <c r="B20" s="64" t="s">
        <v>167</v>
      </c>
      <c r="C20" s="65"/>
      <c r="D20" s="65" t="s">
        <v>164</v>
      </c>
      <c r="E20" s="65"/>
      <c r="F20" s="65" t="s">
        <v>165</v>
      </c>
      <c r="G20" s="65"/>
      <c r="H20" s="65" t="s">
        <v>166</v>
      </c>
      <c r="I20" s="66"/>
      <c r="J20" s="67" t="s">
        <v>168</v>
      </c>
      <c r="K20" s="68"/>
      <c r="L20" s="69" t="s">
        <v>166</v>
      </c>
      <c r="M20" s="69"/>
      <c r="N20" s="69" t="s">
        <v>165</v>
      </c>
      <c r="O20" s="69"/>
      <c r="P20" s="69" t="s">
        <v>164</v>
      </c>
      <c r="Q20" s="69"/>
      <c r="R20" s="70" t="s">
        <v>167</v>
      </c>
    </row>
    <row r="21" spans="1:18" ht="27" thickTop="1">
      <c r="A21" s="306" t="s">
        <v>176</v>
      </c>
      <c r="B21" s="30"/>
      <c r="C21" s="31"/>
      <c r="D21" s="31"/>
      <c r="E21" s="31"/>
      <c r="F21" s="31"/>
      <c r="G21" s="31"/>
      <c r="H21" s="31" t="s">
        <v>1</v>
      </c>
      <c r="I21" s="32"/>
      <c r="J21" s="38"/>
      <c r="K21" s="43"/>
      <c r="L21" s="44"/>
      <c r="M21" s="44"/>
      <c r="N21" s="44"/>
      <c r="O21" s="44"/>
      <c r="P21" s="44"/>
      <c r="Q21" s="44"/>
      <c r="R21" s="45"/>
    </row>
    <row r="22" spans="1:18" ht="18.75">
      <c r="A22" s="303" t="s">
        <v>182</v>
      </c>
    </row>
    <row r="23" spans="1:18" ht="18.75">
      <c r="A23" s="303" t="s">
        <v>333</v>
      </c>
      <c r="M23" s="62"/>
    </row>
    <row r="26" spans="1:18">
      <c r="B26" s="13" t="s">
        <v>9</v>
      </c>
      <c r="C26" s="55" t="s">
        <v>175</v>
      </c>
      <c r="D26" s="73" t="s">
        <v>177</v>
      </c>
      <c r="E26" s="74" t="s">
        <v>178</v>
      </c>
    </row>
    <row r="27" spans="1:18">
      <c r="B27" s="221">
        <v>0.25</v>
      </c>
      <c r="C27" s="75" t="s">
        <v>177</v>
      </c>
      <c r="D27" s="72">
        <v>1</v>
      </c>
      <c r="E27" s="72">
        <v>0.33333333333333331</v>
      </c>
    </row>
    <row r="28" spans="1:18">
      <c r="B28" s="221">
        <v>0.75</v>
      </c>
      <c r="C28" s="76" t="s">
        <v>178</v>
      </c>
      <c r="D28" s="72">
        <v>3</v>
      </c>
      <c r="E28" s="72">
        <v>1</v>
      </c>
    </row>
    <row r="29" spans="1:18" ht="18.75">
      <c r="A29" s="303" t="s">
        <v>179</v>
      </c>
    </row>
    <row r="30" spans="1:18" s="62" customFormat="1" ht="18.75">
      <c r="A30" s="303" t="s">
        <v>183</v>
      </c>
      <c r="J30" s="62" t="s">
        <v>180</v>
      </c>
    </row>
    <row r="31" spans="1:18" ht="18.75">
      <c r="A31" s="303" t="s">
        <v>192</v>
      </c>
    </row>
    <row r="32" spans="1:18" ht="18.75">
      <c r="A32" s="303" t="s">
        <v>288</v>
      </c>
    </row>
    <row r="33" spans="1:21" ht="18.75">
      <c r="A33" s="303"/>
    </row>
    <row r="34" spans="1:21" ht="23.25">
      <c r="A34" s="302" t="s">
        <v>205</v>
      </c>
      <c r="B34" s="84"/>
      <c r="C34" s="84"/>
      <c r="D34" s="84"/>
      <c r="E34" s="84"/>
      <c r="F34" s="84"/>
      <c r="G34" s="84"/>
      <c r="H34" s="84"/>
      <c r="I34" s="84"/>
      <c r="J34" s="84"/>
      <c r="K34" s="84"/>
      <c r="L34" s="84"/>
      <c r="M34" s="84"/>
      <c r="N34" s="84"/>
      <c r="O34" s="84"/>
      <c r="P34" s="84"/>
      <c r="Q34" s="84"/>
      <c r="R34" s="84"/>
      <c r="S34" s="84"/>
      <c r="T34" s="84"/>
      <c r="U34" s="84"/>
    </row>
    <row r="35" spans="1:21" ht="18.75">
      <c r="A35" s="303" t="s">
        <v>200</v>
      </c>
    </row>
    <row r="36" spans="1:21" ht="18.75">
      <c r="A36" s="303" t="s">
        <v>186</v>
      </c>
    </row>
    <row r="37" spans="1:21" ht="18.75">
      <c r="A37" s="303" t="s">
        <v>206</v>
      </c>
    </row>
    <row r="38" spans="1:21" ht="18.75">
      <c r="A38" s="303" t="s">
        <v>193</v>
      </c>
    </row>
    <row r="39" spans="1:21" ht="18.75">
      <c r="A39" s="303"/>
    </row>
    <row r="40" spans="1:21" ht="23.25">
      <c r="A40" s="302" t="s">
        <v>334</v>
      </c>
      <c r="B40" s="83"/>
      <c r="C40" s="83"/>
      <c r="D40" s="83"/>
      <c r="E40" s="83"/>
      <c r="F40" s="83"/>
      <c r="G40" s="83"/>
      <c r="H40" s="83"/>
      <c r="I40" s="83"/>
      <c r="J40" s="83"/>
      <c r="K40" s="83"/>
      <c r="L40" s="83"/>
      <c r="M40" s="83"/>
      <c r="N40" s="83"/>
      <c r="O40" s="83"/>
      <c r="P40" s="83"/>
      <c r="Q40" s="83"/>
      <c r="R40" s="83"/>
      <c r="S40" s="83"/>
      <c r="T40" s="83"/>
      <c r="U40" s="83"/>
    </row>
    <row r="41" spans="1:21" ht="23.25">
      <c r="A41" s="307" t="s">
        <v>349</v>
      </c>
      <c r="B41" s="222"/>
      <c r="C41" s="222"/>
      <c r="D41" s="222"/>
      <c r="E41" s="222"/>
      <c r="F41" s="222"/>
      <c r="G41" s="222"/>
      <c r="H41" s="222"/>
      <c r="I41" s="222"/>
      <c r="J41" s="222"/>
      <c r="K41" s="222"/>
      <c r="L41" s="222"/>
      <c r="M41" s="222"/>
      <c r="N41" s="222"/>
      <c r="O41" s="222"/>
      <c r="P41" s="222"/>
      <c r="Q41" s="222"/>
      <c r="R41" s="222"/>
      <c r="S41" s="222"/>
      <c r="T41" s="222"/>
      <c r="U41" s="222"/>
    </row>
    <row r="42" spans="1:21" ht="18.75">
      <c r="A42" s="303"/>
    </row>
    <row r="43" spans="1:21" ht="23.25">
      <c r="A43" s="302" t="s">
        <v>335</v>
      </c>
      <c r="B43" s="83"/>
      <c r="C43" s="83"/>
      <c r="D43" s="83"/>
      <c r="E43" s="83"/>
      <c r="F43" s="83"/>
      <c r="G43" s="83"/>
      <c r="H43" s="83"/>
      <c r="I43" s="83"/>
      <c r="J43" s="83"/>
      <c r="K43" s="83"/>
      <c r="L43" s="83"/>
      <c r="M43" s="83"/>
      <c r="N43" s="83"/>
      <c r="O43" s="83"/>
      <c r="P43" s="83"/>
      <c r="Q43" s="83"/>
      <c r="R43" s="83"/>
      <c r="S43" s="83"/>
      <c r="T43" s="83"/>
      <c r="U43" s="83"/>
    </row>
    <row r="44" spans="1:21" ht="18.75">
      <c r="A44" s="303" t="s">
        <v>336</v>
      </c>
    </row>
    <row r="45" spans="1:21" ht="18.75">
      <c r="A45" s="303"/>
      <c r="B45" s="6"/>
      <c r="C45" s="6"/>
      <c r="D45" s="6"/>
      <c r="E45" s="6"/>
      <c r="F45" s="6"/>
      <c r="G45" s="6"/>
      <c r="H45" s="6"/>
      <c r="I45" s="6"/>
      <c r="J45" s="6"/>
      <c r="K45" s="6"/>
      <c r="L45" s="6"/>
      <c r="M45" s="6"/>
      <c r="N45" s="6"/>
      <c r="O45" s="6"/>
      <c r="P45" s="6"/>
      <c r="Q45" s="6"/>
      <c r="R45" s="6"/>
      <c r="S45" s="6"/>
      <c r="T45" s="6"/>
      <c r="U45" s="6"/>
    </row>
    <row r="46" spans="1:21" ht="23.25">
      <c r="A46" s="302" t="s">
        <v>268</v>
      </c>
      <c r="B46" s="84"/>
      <c r="C46" s="84"/>
      <c r="D46" s="84"/>
      <c r="E46" s="84"/>
      <c r="F46" s="84"/>
      <c r="G46" s="84"/>
      <c r="H46" s="84"/>
      <c r="I46" s="84"/>
      <c r="J46" s="84"/>
      <c r="K46" s="84"/>
      <c r="L46" s="84"/>
      <c r="M46" s="84"/>
      <c r="N46" s="84"/>
      <c r="O46" s="84"/>
      <c r="P46" s="84"/>
      <c r="Q46" s="84"/>
      <c r="R46" s="84"/>
      <c r="S46" s="84"/>
      <c r="T46" s="84"/>
      <c r="U46" s="84"/>
    </row>
    <row r="47" spans="1:21" ht="18.75">
      <c r="A47" s="303" t="s">
        <v>269</v>
      </c>
    </row>
    <row r="49" spans="1:21" ht="23.25">
      <c r="A49" s="302" t="s">
        <v>337</v>
      </c>
      <c r="B49" s="84"/>
      <c r="C49" s="84"/>
      <c r="D49" s="84"/>
      <c r="E49" s="84"/>
      <c r="F49" s="84"/>
      <c r="G49" s="84"/>
      <c r="H49" s="84"/>
      <c r="I49" s="84"/>
      <c r="J49" s="84"/>
      <c r="K49" s="84"/>
      <c r="L49" s="84"/>
      <c r="M49" s="84"/>
      <c r="N49" s="84"/>
      <c r="O49" s="84"/>
      <c r="P49" s="84"/>
      <c r="Q49" s="84"/>
      <c r="R49" s="84"/>
      <c r="S49" s="84"/>
      <c r="T49" s="84"/>
      <c r="U49" s="84"/>
    </row>
    <row r="50" spans="1:21">
      <c r="A50" s="308" t="s">
        <v>194</v>
      </c>
    </row>
    <row r="51" spans="1:21">
      <c r="A51" s="308" t="s">
        <v>195</v>
      </c>
    </row>
    <row r="52" spans="1:21">
      <c r="A52" s="308"/>
    </row>
    <row r="53" spans="1:21">
      <c r="A53" s="308" t="s">
        <v>189</v>
      </c>
    </row>
    <row r="54" spans="1:21">
      <c r="A54" s="308"/>
    </row>
    <row r="55" spans="1:21">
      <c r="A55" s="308" t="s">
        <v>187</v>
      </c>
    </row>
    <row r="56" spans="1:21">
      <c r="A56" s="308" t="s">
        <v>188</v>
      </c>
    </row>
    <row r="58" spans="1:21" ht="23.25">
      <c r="A58" s="302" t="s">
        <v>196</v>
      </c>
      <c r="B58" s="84"/>
      <c r="C58" s="84"/>
      <c r="D58" s="84"/>
      <c r="E58" s="84"/>
      <c r="F58" s="84"/>
      <c r="G58" s="84"/>
      <c r="H58" s="84"/>
      <c r="I58" s="84"/>
      <c r="J58" s="84"/>
      <c r="K58" s="84"/>
      <c r="L58" s="84"/>
      <c r="M58" s="84"/>
      <c r="N58" s="84"/>
      <c r="O58" s="84"/>
      <c r="P58" s="84"/>
      <c r="Q58" s="84"/>
      <c r="R58" s="84"/>
      <c r="S58" s="84"/>
      <c r="T58" s="84"/>
      <c r="U58" s="84"/>
    </row>
    <row r="59" spans="1:21">
      <c r="A59" s="308" t="s">
        <v>293</v>
      </c>
      <c r="D59" t="s">
        <v>292</v>
      </c>
      <c r="H59" t="s">
        <v>291</v>
      </c>
    </row>
    <row r="60" spans="1:21">
      <c r="A60" s="308" t="s">
        <v>197</v>
      </c>
      <c r="D60" t="s">
        <v>286</v>
      </c>
      <c r="H60" t="s">
        <v>290</v>
      </c>
    </row>
    <row r="61" spans="1:21">
      <c r="A61" s="308" t="s">
        <v>198</v>
      </c>
      <c r="D61" t="s">
        <v>287</v>
      </c>
    </row>
    <row r="62" spans="1:21">
      <c r="A62" s="308" t="s">
        <v>199</v>
      </c>
      <c r="D62" s="78" t="s">
        <v>285</v>
      </c>
    </row>
    <row r="63" spans="1:21">
      <c r="A63" s="308"/>
      <c r="D63" s="78" t="s">
        <v>284</v>
      </c>
    </row>
    <row r="64" spans="1:21">
      <c r="A64" s="308"/>
      <c r="D64" s="78"/>
    </row>
    <row r="65" spans="1:21" ht="23.25">
      <c r="A65" s="302" t="s">
        <v>338</v>
      </c>
      <c r="B65" s="84"/>
      <c r="C65" s="84"/>
      <c r="D65" s="84"/>
      <c r="E65" s="84"/>
      <c r="F65" s="84"/>
      <c r="G65" s="84"/>
      <c r="H65" s="84"/>
      <c r="I65" s="84"/>
      <c r="J65" s="84"/>
      <c r="K65" s="84"/>
      <c r="L65" s="84"/>
      <c r="M65" s="84"/>
      <c r="N65" s="84"/>
      <c r="O65" s="84"/>
      <c r="P65" s="84"/>
      <c r="Q65" s="84"/>
      <c r="R65" s="84"/>
      <c r="S65" s="84"/>
      <c r="T65" s="84"/>
      <c r="U65" s="84"/>
    </row>
    <row r="66" spans="1:21">
      <c r="A66" s="308" t="s">
        <v>354</v>
      </c>
      <c r="C66" s="311"/>
      <c r="D66" s="78"/>
    </row>
    <row r="67" spans="1:21">
      <c r="A67" s="308" t="s">
        <v>351</v>
      </c>
      <c r="C67" s="311"/>
      <c r="D67" s="78"/>
    </row>
    <row r="68" spans="1:21">
      <c r="A68" s="308" t="s">
        <v>352</v>
      </c>
      <c r="D68" s="78"/>
    </row>
    <row r="69" spans="1:21">
      <c r="A69" s="308" t="s">
        <v>353</v>
      </c>
      <c r="D69" s="78"/>
    </row>
    <row r="70" spans="1:21" ht="23.25">
      <c r="A70" s="302" t="s">
        <v>339</v>
      </c>
      <c r="B70" s="84"/>
      <c r="C70" s="84"/>
      <c r="D70" s="84"/>
      <c r="E70" s="84"/>
      <c r="F70" s="84"/>
      <c r="G70" s="84"/>
      <c r="H70" s="84"/>
      <c r="I70" s="84"/>
      <c r="J70" s="84"/>
      <c r="K70" s="84"/>
      <c r="L70" s="84"/>
      <c r="M70" s="84"/>
      <c r="N70" s="84"/>
      <c r="O70" s="84"/>
      <c r="P70" s="84"/>
      <c r="Q70" s="84"/>
      <c r="R70" s="84"/>
      <c r="S70" s="84"/>
      <c r="T70" s="84"/>
      <c r="U70" s="84"/>
    </row>
    <row r="71" spans="1:21" s="224" customFormat="1">
      <c r="A71" s="309" t="s">
        <v>340</v>
      </c>
      <c r="D71" s="223"/>
    </row>
    <row r="72" spans="1:21" s="224" customFormat="1">
      <c r="A72" s="309"/>
      <c r="D72" s="223"/>
    </row>
    <row r="73" spans="1:21" s="224" customFormat="1">
      <c r="A73" s="300"/>
      <c r="B73"/>
      <c r="C73"/>
      <c r="D73"/>
      <c r="E73"/>
      <c r="F73"/>
    </row>
    <row r="74" spans="1:21" s="224" customFormat="1" ht="23.25">
      <c r="A74" s="310" t="s">
        <v>341</v>
      </c>
      <c r="B74" s="84"/>
      <c r="C74" s="84"/>
      <c r="D74" s="83"/>
      <c r="E74" s="84"/>
      <c r="F74" s="84"/>
      <c r="G74" s="83"/>
      <c r="H74" s="84"/>
      <c r="I74" s="84"/>
      <c r="J74" s="83"/>
      <c r="K74" s="84"/>
      <c r="L74" s="84"/>
      <c r="M74" s="83"/>
      <c r="N74" s="84"/>
      <c r="O74" s="84"/>
      <c r="P74" s="83"/>
      <c r="Q74" s="84"/>
      <c r="R74" s="84"/>
      <c r="S74" s="83"/>
      <c r="T74" s="84"/>
      <c r="U74" s="84"/>
    </row>
    <row r="75" spans="1:21">
      <c r="A75" s="309"/>
    </row>
    <row r="76" spans="1:21">
      <c r="A76" s="309"/>
    </row>
    <row r="77" spans="1:21" ht="15.75" customHeight="1">
      <c r="A77" s="308"/>
      <c r="D77" s="78"/>
      <c r="F77" s="320"/>
      <c r="G77" s="320"/>
      <c r="H77" s="320"/>
      <c r="I77" s="320"/>
      <c r="J77" s="320"/>
      <c r="K77" s="320"/>
      <c r="L77" s="320"/>
      <c r="M77" s="320"/>
      <c r="N77" s="320"/>
      <c r="O77" s="321"/>
      <c r="P77" s="321"/>
      <c r="Q77" s="321"/>
      <c r="R77" s="321"/>
    </row>
    <row r="78" spans="1:21" ht="15.75" customHeight="1">
      <c r="A78" s="308"/>
      <c r="D78" s="78"/>
      <c r="F78" s="320"/>
      <c r="G78" s="320"/>
      <c r="H78" s="320"/>
      <c r="I78" s="320"/>
      <c r="J78" s="320"/>
      <c r="K78" s="320"/>
      <c r="L78" s="320"/>
      <c r="M78" s="320"/>
      <c r="N78" s="320"/>
      <c r="O78" s="321"/>
      <c r="P78" s="321"/>
      <c r="Q78" s="321"/>
      <c r="R78" s="321"/>
    </row>
    <row r="79" spans="1:21" ht="15.75" customHeight="1">
      <c r="A79" s="308"/>
      <c r="D79" s="78"/>
      <c r="F79" s="320"/>
      <c r="G79" s="320"/>
      <c r="H79" s="320"/>
      <c r="I79" s="320"/>
      <c r="J79" s="320"/>
      <c r="K79" s="320"/>
      <c r="L79" s="320"/>
      <c r="M79" s="320"/>
      <c r="N79" s="320"/>
      <c r="O79" s="321"/>
      <c r="P79" s="321"/>
      <c r="Q79" s="321"/>
      <c r="R79" s="321"/>
    </row>
    <row r="80" spans="1:21" ht="15.75" customHeight="1">
      <c r="A80" s="308"/>
      <c r="D80" s="78"/>
      <c r="F80" s="320"/>
      <c r="G80" s="320"/>
      <c r="H80" s="320"/>
      <c r="I80" s="320"/>
      <c r="J80" s="320"/>
      <c r="K80" s="320"/>
      <c r="L80" s="320"/>
      <c r="M80" s="320"/>
      <c r="N80" s="320"/>
      <c r="O80" s="321"/>
      <c r="P80" s="321"/>
      <c r="Q80" s="321"/>
      <c r="R80" s="321"/>
    </row>
    <row r="81" spans="1:4">
      <c r="A81" s="308"/>
      <c r="D81" s="78"/>
    </row>
    <row r="82" spans="1:4">
      <c r="A82" s="308"/>
      <c r="D82" s="78"/>
    </row>
    <row r="83" spans="1:4" ht="15.75" customHeight="1">
      <c r="A83" s="308"/>
      <c r="D83" s="78"/>
    </row>
    <row r="84" spans="1:4">
      <c r="A84" s="308"/>
      <c r="D84" s="78"/>
    </row>
    <row r="85" spans="1:4">
      <c r="A85" s="308"/>
      <c r="D85" s="78"/>
    </row>
    <row r="86" spans="1:4">
      <c r="A86" s="308"/>
      <c r="D86" s="78"/>
    </row>
    <row r="87" spans="1:4">
      <c r="A87" s="308"/>
      <c r="D87" s="78"/>
    </row>
    <row r="89" spans="1:4">
      <c r="D89" s="78"/>
    </row>
  </sheetData>
  <mergeCells count="5">
    <mergeCell ref="B6:S6"/>
    <mergeCell ref="B18:R18"/>
    <mergeCell ref="B19:I19"/>
    <mergeCell ref="K19:R19"/>
    <mergeCell ref="F77:R80"/>
  </mergeCells>
  <conditionalFormatting sqref="B27:B28">
    <cfRule type="dataBar" priority="1">
      <dataBar>
        <cfvo type="num" val="0"/>
        <cfvo type="num" val="1"/>
        <color theme="9"/>
      </dataBar>
      <extLst>
        <ext xmlns:x14="http://schemas.microsoft.com/office/spreadsheetml/2009/9/main" uri="{B025F937-C7B1-47D3-B67F-A62EFF666E3E}">
          <x14:id>{496E28A7-BFB0-4FA0-8B25-FD501A1F20A5}</x14:id>
        </ext>
      </extLst>
    </cfRule>
  </conditionalFormatting>
  <hyperlinks>
    <hyperlink ref="P3" r:id="rId1" xr:uid="{00000000-0004-0000-0000-000000000000}"/>
  </hyperlinks>
  <pageMargins left="0.7" right="0.7" top="0.75" bottom="0.75" header="0.3" footer="0.3"/>
  <pageSetup paperSize="9" orientation="landscape" r:id="rId2"/>
  <drawing r:id="rId3"/>
  <extLst>
    <ext xmlns:x14="http://schemas.microsoft.com/office/spreadsheetml/2009/9/main" uri="{78C0D931-6437-407d-A8EE-F0AAD7539E65}">
      <x14:conditionalFormattings>
        <x14:conditionalFormatting xmlns:xm="http://schemas.microsoft.com/office/excel/2006/main">
          <x14:cfRule type="dataBar" id="{496E28A7-BFB0-4FA0-8B25-FD501A1F20A5}">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B27:B28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U136"/>
  <sheetViews>
    <sheetView showGridLines="0" showWhiteSpace="0" view="pageLayout" topLeftCell="G1" zoomScaleNormal="100" workbookViewId="0">
      <selection activeCell="G1" sqref="G1"/>
    </sheetView>
  </sheetViews>
  <sheetFormatPr baseColWidth="10" defaultRowHeight="15.75"/>
  <cols>
    <col min="2" max="2" width="20" bestFit="1" customWidth="1"/>
    <col min="3" max="3" width="29.125" bestFit="1" customWidth="1"/>
    <col min="4" max="4" width="14.125" customWidth="1"/>
    <col min="6" max="6" width="12.125" customWidth="1"/>
    <col min="7" max="7" width="12.625" bestFit="1" customWidth="1"/>
    <col min="8" max="8" width="12.625" customWidth="1"/>
    <col min="9" max="9" width="12.5" customWidth="1"/>
    <col min="10" max="10" width="11.625" customWidth="1"/>
    <col min="11" max="11" width="12.625" bestFit="1" customWidth="1"/>
    <col min="12" max="12" width="13.125" customWidth="1"/>
    <col min="14" max="14" width="12.625" customWidth="1"/>
    <col min="15" max="15" width="14" customWidth="1"/>
    <col min="16" max="16" width="11.625" bestFit="1" customWidth="1"/>
  </cols>
  <sheetData>
    <row r="1" spans="1:21" ht="31.5" thickTop="1" thickBot="1">
      <c r="A1" s="204"/>
      <c r="B1" s="204"/>
      <c r="C1" s="204"/>
      <c r="D1" s="347" t="s">
        <v>2</v>
      </c>
      <c r="E1" s="348"/>
      <c r="F1" s="349"/>
      <c r="G1" s="124" t="s">
        <v>208</v>
      </c>
      <c r="H1" s="350" t="s">
        <v>4</v>
      </c>
      <c r="I1" s="351"/>
      <c r="J1" s="351"/>
      <c r="K1" s="125" t="s">
        <v>289</v>
      </c>
      <c r="L1" s="352" t="s">
        <v>220</v>
      </c>
      <c r="M1" s="353"/>
      <c r="N1" s="353"/>
      <c r="O1" s="353"/>
      <c r="P1" s="126" t="s">
        <v>266</v>
      </c>
    </row>
    <row r="2" spans="1:21" ht="103.5" thickTop="1" thickBot="1">
      <c r="A2" s="204"/>
      <c r="B2" s="204"/>
      <c r="C2" s="127" t="s">
        <v>263</v>
      </c>
      <c r="D2" s="205" t="s">
        <v>260</v>
      </c>
      <c r="E2" s="136" t="s">
        <v>345</v>
      </c>
      <c r="F2" s="206" t="s">
        <v>295</v>
      </c>
      <c r="G2" s="207" t="s">
        <v>296</v>
      </c>
      <c r="H2" s="208" t="s">
        <v>297</v>
      </c>
      <c r="I2" s="208" t="s">
        <v>298</v>
      </c>
      <c r="J2" s="209" t="s">
        <v>332</v>
      </c>
      <c r="K2" s="207" t="s">
        <v>299</v>
      </c>
      <c r="L2" s="208" t="s">
        <v>311</v>
      </c>
      <c r="M2" s="208" t="s">
        <v>312</v>
      </c>
      <c r="N2" s="209" t="s">
        <v>313</v>
      </c>
      <c r="O2" s="209" t="s">
        <v>314</v>
      </c>
      <c r="P2" s="210" t="s">
        <v>300</v>
      </c>
    </row>
    <row r="3" spans="1:21" ht="27" thickTop="1" thickBot="1">
      <c r="A3" s="204"/>
      <c r="B3" s="204"/>
      <c r="C3" s="127" t="s">
        <v>264</v>
      </c>
      <c r="D3" s="205" t="s">
        <v>344</v>
      </c>
      <c r="E3" s="135" t="s">
        <v>346</v>
      </c>
      <c r="F3" s="205" t="s">
        <v>344</v>
      </c>
      <c r="G3" s="208">
        <v>2016</v>
      </c>
      <c r="H3" s="211" t="s">
        <v>347</v>
      </c>
      <c r="I3" s="211" t="s">
        <v>347</v>
      </c>
      <c r="J3" s="211" t="s">
        <v>347</v>
      </c>
      <c r="K3" s="212">
        <v>2018</v>
      </c>
      <c r="L3" s="211" t="s">
        <v>348</v>
      </c>
      <c r="M3" s="211" t="s">
        <v>348</v>
      </c>
      <c r="N3" s="211" t="s">
        <v>348</v>
      </c>
      <c r="O3" s="211" t="s">
        <v>348</v>
      </c>
      <c r="P3" s="205" t="s">
        <v>344</v>
      </c>
    </row>
    <row r="4" spans="1:21" ht="116.25" thickTop="1" thickBot="1">
      <c r="A4" s="204"/>
      <c r="B4" s="204"/>
      <c r="C4" s="127" t="s">
        <v>261</v>
      </c>
      <c r="D4" s="205" t="s">
        <v>265</v>
      </c>
      <c r="E4" s="134" t="s">
        <v>310</v>
      </c>
      <c r="F4" s="205" t="s">
        <v>265</v>
      </c>
      <c r="G4" s="212" t="s">
        <v>301</v>
      </c>
      <c r="H4" s="213" t="s">
        <v>302</v>
      </c>
      <c r="I4" s="213" t="s">
        <v>302</v>
      </c>
      <c r="J4" s="213" t="s">
        <v>302</v>
      </c>
      <c r="K4" s="212" t="s">
        <v>303</v>
      </c>
      <c r="L4" s="205" t="s">
        <v>315</v>
      </c>
      <c r="M4" s="205" t="s">
        <v>315</v>
      </c>
      <c r="N4" s="205" t="s">
        <v>315</v>
      </c>
      <c r="O4" s="205" t="s">
        <v>315</v>
      </c>
      <c r="P4" s="210" t="s">
        <v>267</v>
      </c>
    </row>
    <row r="5" spans="1:21" ht="61.5" thickTop="1" thickBot="1">
      <c r="A5" s="204"/>
      <c r="B5" s="204"/>
      <c r="C5" s="127" t="s">
        <v>262</v>
      </c>
      <c r="D5" s="129" t="s">
        <v>304</v>
      </c>
      <c r="E5" s="130" t="s">
        <v>212</v>
      </c>
      <c r="F5" s="130" t="s">
        <v>305</v>
      </c>
      <c r="G5" s="131" t="s">
        <v>210</v>
      </c>
      <c r="H5" s="129" t="s">
        <v>306</v>
      </c>
      <c r="I5" s="132" t="s">
        <v>307</v>
      </c>
      <c r="J5" s="133" t="s">
        <v>308</v>
      </c>
      <c r="K5" s="128" t="s">
        <v>309</v>
      </c>
      <c r="L5" s="129" t="s">
        <v>207</v>
      </c>
      <c r="M5" s="132" t="s">
        <v>209</v>
      </c>
      <c r="N5" s="133" t="s">
        <v>226</v>
      </c>
      <c r="O5" s="133" t="s">
        <v>227</v>
      </c>
      <c r="P5" s="126" t="s">
        <v>2</v>
      </c>
    </row>
    <row r="6" spans="1:21" ht="16.5" thickTop="1">
      <c r="A6" s="204"/>
      <c r="B6" s="214" t="s">
        <v>17</v>
      </c>
      <c r="C6" s="215" t="s">
        <v>18</v>
      </c>
      <c r="D6" s="232">
        <v>7.95</v>
      </c>
      <c r="E6" s="232">
        <v>82.99</v>
      </c>
      <c r="F6" s="232">
        <v>25.384969560546374</v>
      </c>
      <c r="G6" s="233">
        <v>35509.212948075772</v>
      </c>
      <c r="H6" s="234">
        <v>7.41</v>
      </c>
      <c r="I6" s="234">
        <v>9.92</v>
      </c>
      <c r="J6" s="232">
        <v>4.1049064100816111</v>
      </c>
      <c r="K6" s="235">
        <v>123877.77</v>
      </c>
      <c r="L6" s="236">
        <v>3.7653037653037652E-2</v>
      </c>
      <c r="M6" s="237">
        <v>926</v>
      </c>
      <c r="N6" s="236">
        <v>3.2000000000000001E-2</v>
      </c>
      <c r="O6" s="236">
        <v>3.5000000000000003E-2</v>
      </c>
      <c r="P6" s="238">
        <v>22923</v>
      </c>
    </row>
    <row r="7" spans="1:21">
      <c r="A7" s="204"/>
      <c r="B7" s="216" t="s">
        <v>17</v>
      </c>
      <c r="C7" s="217" t="s">
        <v>19</v>
      </c>
      <c r="D7" s="232">
        <v>16.93</v>
      </c>
      <c r="E7" s="232">
        <v>83.7</v>
      </c>
      <c r="F7" s="232">
        <v>33.63778298204528</v>
      </c>
      <c r="G7" s="233">
        <v>26761.666506434147</v>
      </c>
      <c r="H7" s="234">
        <v>7.69</v>
      </c>
      <c r="I7" s="234">
        <v>11.15</v>
      </c>
      <c r="J7" s="232">
        <v>4.1049064100816111</v>
      </c>
      <c r="K7" s="235">
        <v>86189.55</v>
      </c>
      <c r="L7" s="236">
        <v>3.7653037653037652E-2</v>
      </c>
      <c r="M7" s="237">
        <v>926</v>
      </c>
      <c r="N7" s="236">
        <v>3.2000000000000001E-2</v>
      </c>
      <c r="O7" s="236">
        <v>3.5000000000000003E-2</v>
      </c>
      <c r="P7" s="238">
        <v>45259</v>
      </c>
    </row>
    <row r="8" spans="1:21">
      <c r="A8" s="204"/>
      <c r="B8" s="216" t="s">
        <v>17</v>
      </c>
      <c r="C8" s="217" t="s">
        <v>20</v>
      </c>
      <c r="D8" s="232">
        <v>9.9</v>
      </c>
      <c r="E8" s="232">
        <v>82.32</v>
      </c>
      <c r="F8" s="232">
        <v>21.475770925110133</v>
      </c>
      <c r="G8" s="233">
        <v>37426.712734786364</v>
      </c>
      <c r="H8" s="234">
        <v>6.82</v>
      </c>
      <c r="I8" s="234">
        <v>9.32</v>
      </c>
      <c r="J8" s="232">
        <v>4.1049064100816111</v>
      </c>
      <c r="K8" s="235">
        <v>146492.79999999999</v>
      </c>
      <c r="L8" s="236">
        <v>3.7653037653037652E-2</v>
      </c>
      <c r="M8" s="237">
        <v>926</v>
      </c>
      <c r="N8" s="236">
        <v>3.2000000000000001E-2</v>
      </c>
      <c r="O8" s="236">
        <v>3.5000000000000003E-2</v>
      </c>
      <c r="P8" s="238">
        <v>10484</v>
      </c>
    </row>
    <row r="9" spans="1:21">
      <c r="A9" s="204"/>
      <c r="B9" s="216" t="s">
        <v>17</v>
      </c>
      <c r="C9" s="217" t="s">
        <v>21</v>
      </c>
      <c r="D9" s="232">
        <v>9.93</v>
      </c>
      <c r="E9" s="232">
        <v>85.57</v>
      </c>
      <c r="F9" s="232">
        <v>20.913147957432201</v>
      </c>
      <c r="G9" s="233">
        <v>41583.813435128395</v>
      </c>
      <c r="H9" s="234">
        <v>6.25</v>
      </c>
      <c r="I9" s="234">
        <v>9.1449999999999996</v>
      </c>
      <c r="J9" s="232">
        <v>4.1049064100816111</v>
      </c>
      <c r="K9" s="235">
        <v>158262.44</v>
      </c>
      <c r="L9" s="236">
        <v>3.7653037653037652E-2</v>
      </c>
      <c r="M9" s="237">
        <v>926</v>
      </c>
      <c r="N9" s="236">
        <v>3.2000000000000001E-2</v>
      </c>
      <c r="O9" s="236">
        <v>3.5000000000000003E-2</v>
      </c>
      <c r="P9" s="238">
        <v>17153</v>
      </c>
      <c r="T9" s="18"/>
      <c r="U9" s="18"/>
    </row>
    <row r="10" spans="1:21">
      <c r="A10" s="204"/>
      <c r="B10" s="216" t="s">
        <v>17</v>
      </c>
      <c r="C10" s="217" t="s">
        <v>22</v>
      </c>
      <c r="D10" s="232">
        <v>11.6</v>
      </c>
      <c r="E10" s="232">
        <v>84.09</v>
      </c>
      <c r="F10" s="232">
        <v>24.474369794151102</v>
      </c>
      <c r="G10" s="233">
        <v>31866.058945599867</v>
      </c>
      <c r="H10" s="234">
        <v>6.51</v>
      </c>
      <c r="I10" s="234">
        <v>9.6150000000000002</v>
      </c>
      <c r="J10" s="232">
        <v>4.1049064100816111</v>
      </c>
      <c r="K10" s="235">
        <v>106451.1</v>
      </c>
      <c r="L10" s="236">
        <v>3.7653037653037652E-2</v>
      </c>
      <c r="M10" s="237">
        <v>926</v>
      </c>
      <c r="N10" s="236">
        <v>3.2000000000000001E-2</v>
      </c>
      <c r="O10" s="236">
        <v>3.5000000000000003E-2</v>
      </c>
      <c r="P10" s="238">
        <v>31725</v>
      </c>
    </row>
    <row r="11" spans="1:21">
      <c r="A11" s="204"/>
      <c r="B11" s="216" t="s">
        <v>17</v>
      </c>
      <c r="C11" s="217" t="s">
        <v>23</v>
      </c>
      <c r="D11" s="232">
        <v>13.7</v>
      </c>
      <c r="E11" s="232">
        <v>82.47</v>
      </c>
      <c r="F11" s="232">
        <v>25.620749644156255</v>
      </c>
      <c r="G11" s="233">
        <v>31684.186417871879</v>
      </c>
      <c r="H11" s="234">
        <v>6.55</v>
      </c>
      <c r="I11" s="234">
        <v>9.5150000000000006</v>
      </c>
      <c r="J11" s="232">
        <v>4.1049064100816111</v>
      </c>
      <c r="K11" s="235">
        <v>168590.95</v>
      </c>
      <c r="L11" s="236">
        <v>3.7653037653037652E-2</v>
      </c>
      <c r="M11" s="237">
        <v>926</v>
      </c>
      <c r="N11" s="236">
        <v>3.2000000000000001E-2</v>
      </c>
      <c r="O11" s="236">
        <v>3.5000000000000003E-2</v>
      </c>
      <c r="P11" s="238">
        <v>7337</v>
      </c>
    </row>
    <row r="12" spans="1:21">
      <c r="A12" s="204"/>
      <c r="B12" s="216" t="s">
        <v>24</v>
      </c>
      <c r="C12" s="217" t="s">
        <v>25</v>
      </c>
      <c r="D12" s="232">
        <v>3.84</v>
      </c>
      <c r="E12" s="232">
        <v>85.8</v>
      </c>
      <c r="F12" s="232">
        <v>25.733732643615571</v>
      </c>
      <c r="G12" s="233">
        <v>35479.451419982761</v>
      </c>
      <c r="H12" s="234">
        <v>6.39</v>
      </c>
      <c r="I12" s="234">
        <v>7.75</v>
      </c>
      <c r="J12" s="232">
        <v>3.3840580393784729</v>
      </c>
      <c r="K12" s="235">
        <v>85593.4</v>
      </c>
      <c r="L12" s="236">
        <v>3.275315388247993E-2</v>
      </c>
      <c r="M12" s="237">
        <v>276</v>
      </c>
      <c r="N12" s="236">
        <v>2.9000000000000001E-2</v>
      </c>
      <c r="O12" s="236">
        <v>3.7037037037037035E-2</v>
      </c>
      <c r="P12" s="238">
        <v>22766</v>
      </c>
    </row>
    <row r="13" spans="1:21">
      <c r="A13" s="204"/>
      <c r="B13" s="216" t="s">
        <v>24</v>
      </c>
      <c r="C13" s="217" t="s">
        <v>316</v>
      </c>
      <c r="D13" s="232">
        <v>4.07</v>
      </c>
      <c r="E13" s="232">
        <v>86.21</v>
      </c>
      <c r="F13" s="232">
        <v>25.601391816387299</v>
      </c>
      <c r="G13" s="233">
        <v>45515.797866970956</v>
      </c>
      <c r="H13" s="234">
        <v>6.57</v>
      </c>
      <c r="I13" s="234">
        <v>7.9050000000000002</v>
      </c>
      <c r="J13" s="232">
        <v>3.3840580393784729</v>
      </c>
      <c r="K13" s="235">
        <v>82991.45</v>
      </c>
      <c r="L13" s="236">
        <v>3.275315388247993E-2</v>
      </c>
      <c r="M13" s="237">
        <v>276</v>
      </c>
      <c r="N13" s="236">
        <v>2.9000000000000001E-2</v>
      </c>
      <c r="O13" s="236">
        <v>3.7037037037037035E-2</v>
      </c>
      <c r="P13" s="238">
        <v>36785</v>
      </c>
    </row>
    <row r="14" spans="1:21">
      <c r="A14" s="204"/>
      <c r="B14" s="216" t="s">
        <v>24</v>
      </c>
      <c r="C14" s="217" t="s">
        <v>317</v>
      </c>
      <c r="D14" s="232">
        <v>10.029999999999999</v>
      </c>
      <c r="E14" s="232">
        <v>86.97</v>
      </c>
      <c r="F14" s="232">
        <v>37.771591115414878</v>
      </c>
      <c r="G14" s="233">
        <v>32349.243225554786</v>
      </c>
      <c r="H14" s="234">
        <v>7.25</v>
      </c>
      <c r="I14" s="234">
        <v>9.3249999999999993</v>
      </c>
      <c r="J14" s="232">
        <v>3.3840580393784729</v>
      </c>
      <c r="K14" s="235">
        <v>78861.740000000005</v>
      </c>
      <c r="L14" s="236">
        <v>3.275315388247993E-2</v>
      </c>
      <c r="M14" s="237">
        <v>276</v>
      </c>
      <c r="N14" s="236">
        <v>2.9000000000000001E-2</v>
      </c>
      <c r="O14" s="236">
        <v>3.7037037037037035E-2</v>
      </c>
      <c r="P14" s="238">
        <v>19993</v>
      </c>
    </row>
    <row r="15" spans="1:21">
      <c r="A15" s="204"/>
      <c r="B15" s="216" t="s">
        <v>24</v>
      </c>
      <c r="C15" s="217" t="s">
        <v>26</v>
      </c>
      <c r="D15" s="232">
        <v>4.12</v>
      </c>
      <c r="E15" s="232">
        <v>85.65</v>
      </c>
      <c r="F15" s="232">
        <v>16.584611056407372</v>
      </c>
      <c r="G15" s="233">
        <v>50471.944991068405</v>
      </c>
      <c r="H15" s="234">
        <v>5</v>
      </c>
      <c r="I15" s="234">
        <v>5.7149999999999999</v>
      </c>
      <c r="J15" s="232">
        <v>3.3840580393784729</v>
      </c>
      <c r="K15" s="235">
        <v>89149.77</v>
      </c>
      <c r="L15" s="236">
        <v>3.275315388247993E-2</v>
      </c>
      <c r="M15" s="237">
        <v>276</v>
      </c>
      <c r="N15" s="236">
        <v>2.9000000000000001E-2</v>
      </c>
      <c r="O15" s="236">
        <v>3.7037037037037035E-2</v>
      </c>
      <c r="P15" s="238">
        <v>19652</v>
      </c>
    </row>
    <row r="16" spans="1:21">
      <c r="A16" s="204"/>
      <c r="B16" s="216" t="s">
        <v>24</v>
      </c>
      <c r="C16" s="217" t="s">
        <v>318</v>
      </c>
      <c r="D16" s="232">
        <v>7.83</v>
      </c>
      <c r="E16" s="232">
        <v>85.16</v>
      </c>
      <c r="F16" s="232">
        <v>28.057520691727934</v>
      </c>
      <c r="G16" s="233">
        <v>40446.1981682037</v>
      </c>
      <c r="H16" s="234">
        <v>5.86</v>
      </c>
      <c r="I16" s="234">
        <v>7.1950000000000003</v>
      </c>
      <c r="J16" s="232">
        <v>3.3840580393784729</v>
      </c>
      <c r="K16" s="235">
        <v>84211.54</v>
      </c>
      <c r="L16" s="236">
        <v>3.275315388247993E-2</v>
      </c>
      <c r="M16" s="237">
        <v>276</v>
      </c>
      <c r="N16" s="236">
        <v>2.9000000000000001E-2</v>
      </c>
      <c r="O16" s="236">
        <v>3.7037037037037035E-2</v>
      </c>
      <c r="P16" s="238">
        <v>27658</v>
      </c>
    </row>
    <row r="17" spans="1:16">
      <c r="A17" s="204"/>
      <c r="B17" s="216" t="s">
        <v>24</v>
      </c>
      <c r="C17" s="217" t="s">
        <v>27</v>
      </c>
      <c r="D17" s="232">
        <v>10.09</v>
      </c>
      <c r="E17" s="232">
        <v>85.32</v>
      </c>
      <c r="F17" s="232">
        <v>30.906478821021409</v>
      </c>
      <c r="G17" s="233">
        <v>34649.633461765203</v>
      </c>
      <c r="H17" s="234">
        <v>7.01</v>
      </c>
      <c r="I17" s="234">
        <v>9.4050000000000011</v>
      </c>
      <c r="J17" s="232">
        <v>3.3840580393784729</v>
      </c>
      <c r="K17" s="235">
        <v>81504.509999999995</v>
      </c>
      <c r="L17" s="236">
        <v>3.275315388247993E-2</v>
      </c>
      <c r="M17" s="237">
        <v>276</v>
      </c>
      <c r="N17" s="236">
        <v>2.9000000000000001E-2</v>
      </c>
      <c r="O17" s="236">
        <v>3.7037037037037035E-2</v>
      </c>
      <c r="P17" s="238">
        <v>25801</v>
      </c>
    </row>
    <row r="18" spans="1:16">
      <c r="A18" s="204"/>
      <c r="B18" s="216" t="s">
        <v>24</v>
      </c>
      <c r="C18" s="217" t="s">
        <v>28</v>
      </c>
      <c r="D18" s="232">
        <v>2.98</v>
      </c>
      <c r="E18" s="232">
        <v>73.78</v>
      </c>
      <c r="F18" s="232">
        <v>28.659286592865929</v>
      </c>
      <c r="G18" s="233">
        <v>38575</v>
      </c>
      <c r="H18" s="234">
        <v>9.1300000000000008</v>
      </c>
      <c r="I18" s="234">
        <v>9.68</v>
      </c>
      <c r="J18" s="232">
        <v>3.3840580393784729</v>
      </c>
      <c r="K18" s="235">
        <v>118352.83</v>
      </c>
      <c r="L18" s="236">
        <v>3.275315388247993E-2</v>
      </c>
      <c r="M18" s="237">
        <v>276</v>
      </c>
      <c r="N18" s="236">
        <v>2.9000000000000001E-2</v>
      </c>
      <c r="O18" s="236">
        <v>3.7037037037037035E-2</v>
      </c>
      <c r="P18" s="238">
        <v>1175</v>
      </c>
    </row>
    <row r="19" spans="1:16">
      <c r="A19" s="204"/>
      <c r="B19" s="216" t="s">
        <v>29</v>
      </c>
      <c r="C19" s="217" t="s">
        <v>30</v>
      </c>
      <c r="D19" s="232">
        <v>5.39</v>
      </c>
      <c r="E19" s="232">
        <v>87.03</v>
      </c>
      <c r="F19" s="232">
        <v>24.769610333067266</v>
      </c>
      <c r="G19" s="233">
        <v>36935.286245332303</v>
      </c>
      <c r="H19" s="234">
        <v>6.13</v>
      </c>
      <c r="I19" s="234">
        <v>7.4350000000000005</v>
      </c>
      <c r="J19" s="232">
        <v>3.0468907224793722</v>
      </c>
      <c r="K19" s="235">
        <v>95326.83</v>
      </c>
      <c r="L19" s="236">
        <v>1.3496812800832574E-2</v>
      </c>
      <c r="M19" s="237">
        <v>128</v>
      </c>
      <c r="N19" s="236">
        <v>1.4999999999999999E-2</v>
      </c>
      <c r="O19" s="236">
        <v>2.4E-2</v>
      </c>
      <c r="P19" s="238">
        <v>33571</v>
      </c>
    </row>
    <row r="20" spans="1:16">
      <c r="A20" s="204"/>
      <c r="B20" s="216" t="s">
        <v>29</v>
      </c>
      <c r="C20" s="217" t="s">
        <v>31</v>
      </c>
      <c r="D20" s="232">
        <v>4.33</v>
      </c>
      <c r="E20" s="232">
        <v>85.45</v>
      </c>
      <c r="F20" s="232">
        <v>25.2453653217012</v>
      </c>
      <c r="G20" s="233">
        <v>46144.621926852698</v>
      </c>
      <c r="H20" s="234">
        <v>6.17</v>
      </c>
      <c r="I20" s="234">
        <v>7.4649999999999999</v>
      </c>
      <c r="J20" s="232">
        <v>3.0468907224793722</v>
      </c>
      <c r="K20" s="235">
        <v>88542.87</v>
      </c>
      <c r="L20" s="236">
        <v>1.3496812800832574E-2</v>
      </c>
      <c r="M20" s="237">
        <v>128</v>
      </c>
      <c r="N20" s="236">
        <v>1.4999999999999999E-2</v>
      </c>
      <c r="O20" s="236">
        <v>2.4E-2</v>
      </c>
      <c r="P20" s="238">
        <v>18474</v>
      </c>
    </row>
    <row r="21" spans="1:16">
      <c r="A21" s="204"/>
      <c r="B21" s="216" t="s">
        <v>29</v>
      </c>
      <c r="C21" s="217" t="s">
        <v>319</v>
      </c>
      <c r="D21" s="232">
        <v>2.36</v>
      </c>
      <c r="E21" s="232">
        <v>85.49</v>
      </c>
      <c r="F21" s="232">
        <v>19.83888292158969</v>
      </c>
      <c r="G21" s="233">
        <v>59503.240485351089</v>
      </c>
      <c r="H21" s="234">
        <v>4.99</v>
      </c>
      <c r="I21" s="234">
        <v>6.11</v>
      </c>
      <c r="J21" s="232">
        <v>3.0468907224793722</v>
      </c>
      <c r="K21" s="235">
        <v>124302.52</v>
      </c>
      <c r="L21" s="236">
        <v>1.3496812800832574E-2</v>
      </c>
      <c r="M21" s="237">
        <v>128</v>
      </c>
      <c r="N21" s="236">
        <v>1.4999999999999999E-2</v>
      </c>
      <c r="O21" s="236">
        <v>2.4E-2</v>
      </c>
      <c r="P21" s="238">
        <v>23306</v>
      </c>
    </row>
    <row r="22" spans="1:16">
      <c r="A22" s="204"/>
      <c r="B22" s="216" t="s">
        <v>29</v>
      </c>
      <c r="C22" s="217" t="s">
        <v>32</v>
      </c>
      <c r="D22" s="232">
        <v>5.89</v>
      </c>
      <c r="E22" s="232">
        <v>85.39</v>
      </c>
      <c r="F22" s="232">
        <v>22.188449848024316</v>
      </c>
      <c r="G22" s="233">
        <v>46829.309806687961</v>
      </c>
      <c r="H22" s="234">
        <v>5.67</v>
      </c>
      <c r="I22" s="234">
        <v>7.2949999999999999</v>
      </c>
      <c r="J22" s="232">
        <v>3.0468907224793722</v>
      </c>
      <c r="K22" s="235">
        <v>160058.20000000001</v>
      </c>
      <c r="L22" s="236">
        <v>1.3496812800832574E-2</v>
      </c>
      <c r="M22" s="237">
        <v>128</v>
      </c>
      <c r="N22" s="236">
        <v>1.4999999999999999E-2</v>
      </c>
      <c r="O22" s="236">
        <v>2.4E-2</v>
      </c>
      <c r="P22" s="238">
        <v>21646</v>
      </c>
    </row>
    <row r="23" spans="1:16">
      <c r="A23" s="204"/>
      <c r="B23" s="216" t="s">
        <v>29</v>
      </c>
      <c r="C23" s="217" t="s">
        <v>320</v>
      </c>
      <c r="D23" s="232">
        <v>4.22</v>
      </c>
      <c r="E23" s="232">
        <v>85.13</v>
      </c>
      <c r="F23" s="232">
        <v>18.288005578800558</v>
      </c>
      <c r="G23" s="233">
        <v>69543.255848425251</v>
      </c>
      <c r="H23" s="234">
        <v>4.09</v>
      </c>
      <c r="I23" s="234">
        <v>5.3249999999999993</v>
      </c>
      <c r="J23" s="232">
        <v>3.0468907224793722</v>
      </c>
      <c r="K23" s="235">
        <v>327167.19</v>
      </c>
      <c r="L23" s="236">
        <v>1.3496812800832574E-2</v>
      </c>
      <c r="M23" s="237">
        <v>128</v>
      </c>
      <c r="N23" s="236">
        <v>1.4999999999999999E-2</v>
      </c>
      <c r="O23" s="236">
        <v>2.4E-2</v>
      </c>
      <c r="P23" s="238">
        <v>7039</v>
      </c>
    </row>
    <row r="24" spans="1:16">
      <c r="A24" s="204"/>
      <c r="B24" s="216" t="s">
        <v>29</v>
      </c>
      <c r="C24" s="217" t="s">
        <v>33</v>
      </c>
      <c r="D24" s="232">
        <v>2.72</v>
      </c>
      <c r="E24" s="232">
        <v>85.2</v>
      </c>
      <c r="F24" s="232">
        <v>15.199455643446457</v>
      </c>
      <c r="G24" s="233">
        <v>68049.083003506137</v>
      </c>
      <c r="H24" s="234">
        <v>4.2300000000000004</v>
      </c>
      <c r="I24" s="234">
        <v>5.3949999999999996</v>
      </c>
      <c r="J24" s="232">
        <v>3.0468907224793722</v>
      </c>
      <c r="K24" s="235">
        <v>205078.82</v>
      </c>
      <c r="L24" s="236">
        <v>1.3496812800832574E-2</v>
      </c>
      <c r="M24" s="237">
        <v>128</v>
      </c>
      <c r="N24" s="236">
        <v>1.4999999999999999E-2</v>
      </c>
      <c r="O24" s="236">
        <v>2.4E-2</v>
      </c>
      <c r="P24" s="238">
        <v>15343</v>
      </c>
    </row>
    <row r="25" spans="1:16">
      <c r="A25" s="204"/>
      <c r="B25" s="216" t="s">
        <v>34</v>
      </c>
      <c r="C25" s="217" t="s">
        <v>35</v>
      </c>
      <c r="D25" s="232">
        <v>7.98</v>
      </c>
      <c r="E25" s="232">
        <v>85.89</v>
      </c>
      <c r="F25" s="232">
        <v>14.205950386854909</v>
      </c>
      <c r="G25" s="233">
        <v>79736.559682901207</v>
      </c>
      <c r="H25" s="234">
        <v>3.31</v>
      </c>
      <c r="I25" s="234">
        <v>4.5449999999999999</v>
      </c>
      <c r="J25" s="232">
        <v>2.5515857253360652</v>
      </c>
      <c r="K25" s="235">
        <v>258711.98</v>
      </c>
      <c r="L25" s="236">
        <v>2.7153209406238363E-2</v>
      </c>
      <c r="M25" s="237">
        <v>128</v>
      </c>
      <c r="N25" s="236">
        <v>1.9E-2</v>
      </c>
      <c r="O25" s="236">
        <v>2.5000000000000001E-2</v>
      </c>
      <c r="P25" s="238">
        <v>15734</v>
      </c>
    </row>
    <row r="26" spans="1:16">
      <c r="A26" s="204"/>
      <c r="B26" s="216" t="s">
        <v>34</v>
      </c>
      <c r="C26" s="217" t="s">
        <v>36</v>
      </c>
      <c r="D26" s="232">
        <v>7.29</v>
      </c>
      <c r="E26" s="232">
        <v>85.62</v>
      </c>
      <c r="F26" s="232">
        <v>19.233158047285826</v>
      </c>
      <c r="G26" s="233">
        <v>50739.084967341667</v>
      </c>
      <c r="H26" s="234">
        <v>4.7699999999999996</v>
      </c>
      <c r="I26" s="234">
        <v>6.4350000000000005</v>
      </c>
      <c r="J26" s="232">
        <v>2.5515857253360652</v>
      </c>
      <c r="K26" s="235">
        <v>156823.97</v>
      </c>
      <c r="L26" s="236">
        <v>2.7153209406238363E-2</v>
      </c>
      <c r="M26" s="237">
        <v>128</v>
      </c>
      <c r="N26" s="236">
        <v>1.9E-2</v>
      </c>
      <c r="O26" s="236">
        <v>2.5000000000000001E-2</v>
      </c>
      <c r="P26" s="238">
        <v>29649</v>
      </c>
    </row>
    <row r="27" spans="1:16">
      <c r="A27" s="204"/>
      <c r="B27" s="216" t="s">
        <v>34</v>
      </c>
      <c r="C27" s="217" t="s">
        <v>37</v>
      </c>
      <c r="D27" s="232">
        <v>6.62</v>
      </c>
      <c r="E27" s="232">
        <v>85.68</v>
      </c>
      <c r="F27" s="232">
        <v>24.537707958958901</v>
      </c>
      <c r="G27" s="233">
        <v>41675.788313774166</v>
      </c>
      <c r="H27" s="234">
        <v>6.04</v>
      </c>
      <c r="I27" s="234">
        <v>8.120000000000001</v>
      </c>
      <c r="J27" s="232">
        <v>2.5515857253360652</v>
      </c>
      <c r="K27" s="235">
        <v>109638.43</v>
      </c>
      <c r="L27" s="236">
        <v>2.7153209406238363E-2</v>
      </c>
      <c r="M27" s="237">
        <v>128</v>
      </c>
      <c r="N27" s="236">
        <v>1.9E-2</v>
      </c>
      <c r="O27" s="236">
        <v>2.5000000000000001E-2</v>
      </c>
      <c r="P27" s="238">
        <v>21071</v>
      </c>
    </row>
    <row r="28" spans="1:16">
      <c r="A28" s="204"/>
      <c r="B28" s="216" t="s">
        <v>34</v>
      </c>
      <c r="C28" s="217" t="s">
        <v>38</v>
      </c>
      <c r="D28" s="232">
        <v>6.34</v>
      </c>
      <c r="E28" s="232">
        <v>85.05</v>
      </c>
      <c r="F28" s="232">
        <v>20.692939635670914</v>
      </c>
      <c r="G28" s="233">
        <v>46915.951826041404</v>
      </c>
      <c r="H28" s="234">
        <v>5.56</v>
      </c>
      <c r="I28" s="234">
        <v>7.4499999999999993</v>
      </c>
      <c r="J28" s="232">
        <v>2.5515857253360652</v>
      </c>
      <c r="K28" s="235">
        <v>114653.63</v>
      </c>
      <c r="L28" s="236">
        <v>2.7153209406238363E-2</v>
      </c>
      <c r="M28" s="237">
        <v>128</v>
      </c>
      <c r="N28" s="236">
        <v>1.9E-2</v>
      </c>
      <c r="O28" s="236">
        <v>2.5000000000000001E-2</v>
      </c>
      <c r="P28" s="238">
        <v>41609</v>
      </c>
    </row>
    <row r="29" spans="1:16">
      <c r="A29" s="204"/>
      <c r="B29" s="216" t="s">
        <v>34</v>
      </c>
      <c r="C29" s="217" t="s">
        <v>39</v>
      </c>
      <c r="D29" s="232">
        <v>7.42</v>
      </c>
      <c r="E29" s="232">
        <v>85.99</v>
      </c>
      <c r="F29" s="232">
        <v>18.543007261349548</v>
      </c>
      <c r="G29" s="233">
        <v>49641.190872657826</v>
      </c>
      <c r="H29" s="234">
        <v>4.83</v>
      </c>
      <c r="I29" s="234">
        <v>6.96</v>
      </c>
      <c r="J29" s="232">
        <v>2.5515857253360652</v>
      </c>
      <c r="K29" s="235">
        <v>152272.01</v>
      </c>
      <c r="L29" s="236">
        <v>2.7153209406238363E-2</v>
      </c>
      <c r="M29" s="237">
        <v>128</v>
      </c>
      <c r="N29" s="236">
        <v>1.9E-2</v>
      </c>
      <c r="O29" s="236">
        <v>2.5000000000000001E-2</v>
      </c>
      <c r="P29" s="238">
        <v>20961</v>
      </c>
    </row>
    <row r="30" spans="1:16">
      <c r="A30" s="204"/>
      <c r="B30" s="216" t="s">
        <v>34</v>
      </c>
      <c r="C30" s="217" t="s">
        <v>40</v>
      </c>
      <c r="D30" s="232">
        <v>8.32</v>
      </c>
      <c r="E30" s="232">
        <v>86.82</v>
      </c>
      <c r="F30" s="232">
        <v>15.909427260618617</v>
      </c>
      <c r="G30" s="233">
        <v>72528.93424364175</v>
      </c>
      <c r="H30" s="234">
        <v>3.6</v>
      </c>
      <c r="I30" s="234">
        <v>5.415</v>
      </c>
      <c r="J30" s="232">
        <v>2.5515857253360652</v>
      </c>
      <c r="K30" s="235">
        <v>260293.34</v>
      </c>
      <c r="L30" s="236">
        <v>2.7153209406238402E-2</v>
      </c>
      <c r="M30" s="237">
        <v>128</v>
      </c>
      <c r="N30" s="236">
        <v>1.9E-2</v>
      </c>
      <c r="O30" s="236">
        <v>2.5000000000000001E-2</v>
      </c>
      <c r="P30" s="238">
        <v>17124</v>
      </c>
    </row>
    <row r="31" spans="1:16">
      <c r="A31" s="204"/>
      <c r="B31" s="216" t="s">
        <v>41</v>
      </c>
      <c r="C31" s="217" t="s">
        <v>42</v>
      </c>
      <c r="D31" s="232">
        <v>6.2</v>
      </c>
      <c r="E31" s="232">
        <v>86.4</v>
      </c>
      <c r="F31" s="232">
        <v>16.052830188679245</v>
      </c>
      <c r="G31" s="233">
        <v>88193.871439463444</v>
      </c>
      <c r="H31" s="234">
        <v>3.06</v>
      </c>
      <c r="I31" s="234">
        <v>4.28</v>
      </c>
      <c r="J31" s="232">
        <v>2.5063762470002047</v>
      </c>
      <c r="K31" s="235">
        <v>312996.19</v>
      </c>
      <c r="L31" s="236">
        <v>1.8523972199316764E-2</v>
      </c>
      <c r="M31" s="237">
        <v>148</v>
      </c>
      <c r="N31" s="236">
        <v>1.4999999999999999E-2</v>
      </c>
      <c r="O31" s="236">
        <v>2.576864177170456E-2</v>
      </c>
      <c r="P31" s="238">
        <v>17302</v>
      </c>
    </row>
    <row r="32" spans="1:16">
      <c r="A32" s="204"/>
      <c r="B32" s="216" t="s">
        <v>41</v>
      </c>
      <c r="C32" s="217" t="s">
        <v>43</v>
      </c>
      <c r="D32" s="232">
        <v>6.46</v>
      </c>
      <c r="E32" s="232">
        <v>84.97</v>
      </c>
      <c r="F32" s="232">
        <v>22.079392566937525</v>
      </c>
      <c r="G32" s="233">
        <v>44699.409526484305</v>
      </c>
      <c r="H32" s="234">
        <v>6.12</v>
      </c>
      <c r="I32" s="234">
        <v>8.875</v>
      </c>
      <c r="J32" s="232">
        <v>2.5063762470002047</v>
      </c>
      <c r="K32" s="235">
        <v>101406.77</v>
      </c>
      <c r="L32" s="236">
        <v>1.8523972199316764E-2</v>
      </c>
      <c r="M32" s="237">
        <v>148</v>
      </c>
      <c r="N32" s="236">
        <v>1.4999999999999999E-2</v>
      </c>
      <c r="O32" s="236">
        <v>2.576864177170456E-2</v>
      </c>
      <c r="P32" s="238">
        <v>36651</v>
      </c>
    </row>
    <row r="33" spans="1:16">
      <c r="A33" s="204"/>
      <c r="B33" s="216" t="s">
        <v>41</v>
      </c>
      <c r="C33" s="217" t="s">
        <v>44</v>
      </c>
      <c r="D33" s="232">
        <v>7.21</v>
      </c>
      <c r="E33" s="232">
        <v>85.56</v>
      </c>
      <c r="F33" s="232">
        <v>23.396627273934403</v>
      </c>
      <c r="G33" s="233">
        <v>44436.726803944228</v>
      </c>
      <c r="H33" s="234">
        <v>5.98</v>
      </c>
      <c r="I33" s="234">
        <v>8.3849999999999998</v>
      </c>
      <c r="J33" s="232">
        <v>2.5063762470002047</v>
      </c>
      <c r="K33" s="235">
        <v>113798.58</v>
      </c>
      <c r="L33" s="236">
        <v>1.8523972199316764E-2</v>
      </c>
      <c r="M33" s="237">
        <v>148</v>
      </c>
      <c r="N33" s="236">
        <v>1.4999999999999999E-2</v>
      </c>
      <c r="O33" s="236">
        <v>2.576864177170456E-2</v>
      </c>
      <c r="P33" s="238">
        <v>18642</v>
      </c>
    </row>
    <row r="34" spans="1:16">
      <c r="A34" s="204"/>
      <c r="B34" s="216" t="s">
        <v>41</v>
      </c>
      <c r="C34" s="217" t="s">
        <v>45</v>
      </c>
      <c r="D34" s="232">
        <v>3.78</v>
      </c>
      <c r="E34" s="232">
        <v>86.2</v>
      </c>
      <c r="F34" s="232">
        <v>16.530670239110137</v>
      </c>
      <c r="G34" s="233">
        <v>63487.380653796492</v>
      </c>
      <c r="H34" s="234">
        <v>4.5</v>
      </c>
      <c r="I34" s="234">
        <v>6.2349999999999994</v>
      </c>
      <c r="J34" s="232">
        <v>2.5063762470002047</v>
      </c>
      <c r="K34" s="235">
        <v>156399.54999999999</v>
      </c>
      <c r="L34" s="236">
        <v>1.8523972199316764E-2</v>
      </c>
      <c r="M34" s="237">
        <v>148</v>
      </c>
      <c r="N34" s="236">
        <v>1.4999999999999999E-2</v>
      </c>
      <c r="O34" s="236">
        <v>2.576864177170456E-2</v>
      </c>
      <c r="P34" s="238">
        <v>31733</v>
      </c>
    </row>
    <row r="35" spans="1:16">
      <c r="A35" s="204"/>
      <c r="B35" s="216" t="s">
        <v>41</v>
      </c>
      <c r="C35" s="217" t="s">
        <v>46</v>
      </c>
      <c r="D35" s="232">
        <v>4.88</v>
      </c>
      <c r="E35" s="232">
        <v>85.89</v>
      </c>
      <c r="F35" s="232">
        <v>13.543307086614174</v>
      </c>
      <c r="G35" s="233">
        <v>73422.834209702633</v>
      </c>
      <c r="H35" s="234">
        <v>3.78</v>
      </c>
      <c r="I35" s="234">
        <v>5.1950000000000003</v>
      </c>
      <c r="J35" s="232">
        <v>2.5063762470002047</v>
      </c>
      <c r="K35" s="235">
        <v>201438.28</v>
      </c>
      <c r="L35" s="236">
        <v>1.8523972199316764E-2</v>
      </c>
      <c r="M35" s="237">
        <v>148</v>
      </c>
      <c r="N35" s="236">
        <v>1.4999999999999999E-2</v>
      </c>
      <c r="O35" s="236">
        <v>2.576864177170456E-2</v>
      </c>
      <c r="P35" s="238">
        <v>24657</v>
      </c>
    </row>
    <row r="36" spans="1:16">
      <c r="A36" s="204"/>
      <c r="B36" s="216" t="s">
        <v>41</v>
      </c>
      <c r="C36" s="217" t="s">
        <v>47</v>
      </c>
      <c r="D36" s="232">
        <v>4.82</v>
      </c>
      <c r="E36" s="232">
        <v>86.55</v>
      </c>
      <c r="F36" s="232">
        <v>17.423955093681258</v>
      </c>
      <c r="G36" s="233">
        <v>56554.143514980584</v>
      </c>
      <c r="H36" s="234">
        <v>5.34</v>
      </c>
      <c r="I36" s="234">
        <v>7.96</v>
      </c>
      <c r="J36" s="232">
        <v>2.5063762470002047</v>
      </c>
      <c r="K36" s="235">
        <v>106808.86</v>
      </c>
      <c r="L36" s="236">
        <v>1.8523972199316764E-2</v>
      </c>
      <c r="M36" s="237">
        <v>148</v>
      </c>
      <c r="N36" s="236">
        <v>1.4999999999999999E-2</v>
      </c>
      <c r="O36" s="236">
        <v>2.5768641771704601E-2</v>
      </c>
      <c r="P36" s="238">
        <v>16880</v>
      </c>
    </row>
    <row r="37" spans="1:16">
      <c r="A37" s="204"/>
      <c r="B37" s="216" t="s">
        <v>48</v>
      </c>
      <c r="C37" s="217" t="s">
        <v>49</v>
      </c>
      <c r="D37" s="232">
        <v>18.84</v>
      </c>
      <c r="E37" s="232">
        <v>85.7</v>
      </c>
      <c r="F37" s="232">
        <v>41.111734495705839</v>
      </c>
      <c r="G37" s="233">
        <v>28860.619326379441</v>
      </c>
      <c r="H37" s="234">
        <v>7.1</v>
      </c>
      <c r="I37" s="234">
        <v>9.9750000000000014</v>
      </c>
      <c r="J37" s="232">
        <v>3.9123004763116751</v>
      </c>
      <c r="K37" s="235">
        <v>78296.899999999994</v>
      </c>
      <c r="L37" s="236">
        <v>2.6796828932713096E-2</v>
      </c>
      <c r="M37" s="237">
        <v>900</v>
      </c>
      <c r="N37" s="236">
        <v>3.6999999999999998E-2</v>
      </c>
      <c r="O37" s="236">
        <v>4.5993579243923215E-2</v>
      </c>
      <c r="P37" s="238">
        <v>29146</v>
      </c>
    </row>
    <row r="38" spans="1:16">
      <c r="A38" s="204"/>
      <c r="B38" s="216" t="s">
        <v>48</v>
      </c>
      <c r="C38" s="217" t="s">
        <v>50</v>
      </c>
      <c r="D38" s="232">
        <v>11.01</v>
      </c>
      <c r="E38" s="232">
        <v>85.56</v>
      </c>
      <c r="F38" s="232">
        <v>26.475160766023603</v>
      </c>
      <c r="G38" s="233">
        <v>44415.683716413318</v>
      </c>
      <c r="H38" s="234">
        <v>5.47</v>
      </c>
      <c r="I38" s="234">
        <v>7.8699999999999992</v>
      </c>
      <c r="J38" s="232">
        <v>3.9123004763116751</v>
      </c>
      <c r="K38" s="235">
        <v>115696.81</v>
      </c>
      <c r="L38" s="236">
        <v>2.6796828932713096E-2</v>
      </c>
      <c r="M38" s="237">
        <v>900</v>
      </c>
      <c r="N38" s="236">
        <v>3.6999999999999998E-2</v>
      </c>
      <c r="O38" s="236">
        <v>4.5993579243923215E-2</v>
      </c>
      <c r="P38" s="238">
        <v>34608</v>
      </c>
    </row>
    <row r="39" spans="1:16">
      <c r="A39" s="204"/>
      <c r="B39" s="216" t="s">
        <v>48</v>
      </c>
      <c r="C39" s="217" t="s">
        <v>51</v>
      </c>
      <c r="D39" s="232">
        <v>10.78</v>
      </c>
      <c r="E39" s="232">
        <v>85.62</v>
      </c>
      <c r="F39" s="232">
        <v>25.150435239820062</v>
      </c>
      <c r="G39" s="233">
        <v>46595.922461094349</v>
      </c>
      <c r="H39" s="234">
        <v>5.42</v>
      </c>
      <c r="I39" s="234">
        <v>7.73</v>
      </c>
      <c r="J39" s="232">
        <v>3.9123004763116751</v>
      </c>
      <c r="K39" s="235">
        <v>114452.2</v>
      </c>
      <c r="L39" s="236">
        <v>2.6796828932713096E-2</v>
      </c>
      <c r="M39" s="237">
        <v>900</v>
      </c>
      <c r="N39" s="236">
        <v>3.6999999999999998E-2</v>
      </c>
      <c r="O39" s="236">
        <v>4.5993579243923215E-2</v>
      </c>
      <c r="P39" s="238">
        <v>20513</v>
      </c>
    </row>
    <row r="40" spans="1:16">
      <c r="A40" s="204"/>
      <c r="B40" s="216" t="s">
        <v>48</v>
      </c>
      <c r="C40" s="217" t="s">
        <v>52</v>
      </c>
      <c r="D40" s="232">
        <v>11.11</v>
      </c>
      <c r="E40" s="232">
        <v>83.88</v>
      </c>
      <c r="F40" s="232">
        <v>46.91261703076237</v>
      </c>
      <c r="G40" s="233">
        <v>29675.215769875176</v>
      </c>
      <c r="H40" s="234">
        <v>10.63</v>
      </c>
      <c r="I40" s="234">
        <v>13.984999999999999</v>
      </c>
      <c r="J40" s="232">
        <v>3.9123004763116751</v>
      </c>
      <c r="K40" s="235">
        <v>81848.03</v>
      </c>
      <c r="L40" s="236">
        <v>2.6796828932713096E-2</v>
      </c>
      <c r="M40" s="237">
        <v>900</v>
      </c>
      <c r="N40" s="236">
        <v>3.6999999999999998E-2</v>
      </c>
      <c r="O40" s="236">
        <v>4.5993579243923215E-2</v>
      </c>
      <c r="P40" s="238">
        <v>22642</v>
      </c>
    </row>
    <row r="41" spans="1:16">
      <c r="A41" s="204"/>
      <c r="B41" s="216" t="s">
        <v>48</v>
      </c>
      <c r="C41" s="217" t="s">
        <v>53</v>
      </c>
      <c r="D41" s="232">
        <v>17.989999999999998</v>
      </c>
      <c r="E41" s="232">
        <v>83.97</v>
      </c>
      <c r="F41" s="232">
        <v>46.513334964521654</v>
      </c>
      <c r="G41" s="233">
        <v>28693.648097831949</v>
      </c>
      <c r="H41" s="234">
        <v>7.96</v>
      </c>
      <c r="I41" s="234">
        <v>10.414999999999999</v>
      </c>
      <c r="J41" s="232">
        <v>3.9123004763116751</v>
      </c>
      <c r="K41" s="235">
        <v>56502.33</v>
      </c>
      <c r="L41" s="236">
        <v>2.6796828932713096E-2</v>
      </c>
      <c r="M41" s="237">
        <v>900</v>
      </c>
      <c r="N41" s="236">
        <v>3.6999999999999998E-2</v>
      </c>
      <c r="O41" s="236">
        <v>4.5993579243923215E-2</v>
      </c>
      <c r="P41" s="238">
        <v>26021</v>
      </c>
    </row>
    <row r="42" spans="1:16">
      <c r="A42" s="204"/>
      <c r="B42" s="216" t="s">
        <v>48</v>
      </c>
      <c r="C42" s="217" t="s">
        <v>54</v>
      </c>
      <c r="D42" s="232">
        <v>19.670000000000002</v>
      </c>
      <c r="E42" s="232">
        <v>84.84</v>
      </c>
      <c r="F42" s="232">
        <v>44.037257596579629</v>
      </c>
      <c r="G42" s="233">
        <v>29320.7636426756</v>
      </c>
      <c r="H42" s="234">
        <v>7.65</v>
      </c>
      <c r="I42" s="234">
        <v>10.865</v>
      </c>
      <c r="J42" s="232">
        <v>3.9123004763116751</v>
      </c>
      <c r="K42" s="235">
        <v>69769.070000000007</v>
      </c>
      <c r="L42" s="236">
        <v>2.6796828932713096E-2</v>
      </c>
      <c r="M42" s="237">
        <v>900</v>
      </c>
      <c r="N42" s="236">
        <v>3.6999999999999998E-2</v>
      </c>
      <c r="O42" s="236">
        <v>4.5993579243923215E-2</v>
      </c>
      <c r="P42" s="238">
        <v>25007</v>
      </c>
    </row>
    <row r="43" spans="1:16">
      <c r="A43" s="204"/>
      <c r="B43" s="216" t="s">
        <v>55</v>
      </c>
      <c r="C43" s="217" t="s">
        <v>56</v>
      </c>
      <c r="D43" s="232">
        <v>6.55</v>
      </c>
      <c r="E43" s="232">
        <v>86.62</v>
      </c>
      <c r="F43" s="232">
        <v>21.306788097003071</v>
      </c>
      <c r="G43" s="233">
        <v>45820.967484979083</v>
      </c>
      <c r="H43" s="234">
        <v>5.86</v>
      </c>
      <c r="I43" s="234">
        <v>7.76</v>
      </c>
      <c r="J43" s="232">
        <v>2.703855152959699</v>
      </c>
      <c r="K43" s="235">
        <v>111003.11</v>
      </c>
      <c r="L43" s="236">
        <v>2.7428537540030839E-2</v>
      </c>
      <c r="M43" s="237">
        <v>160</v>
      </c>
      <c r="N43" s="236">
        <v>2.7E-2</v>
      </c>
      <c r="O43" s="236">
        <v>3.3000000000000002E-2</v>
      </c>
      <c r="P43" s="238">
        <v>22891</v>
      </c>
    </row>
    <row r="44" spans="1:16">
      <c r="A44" s="204"/>
      <c r="B44" s="216" t="s">
        <v>55</v>
      </c>
      <c r="C44" s="217" t="s">
        <v>57</v>
      </c>
      <c r="D44" s="232">
        <v>6.16</v>
      </c>
      <c r="E44" s="232">
        <v>85.26</v>
      </c>
      <c r="F44" s="232">
        <v>22.874574914982997</v>
      </c>
      <c r="G44" s="233">
        <v>42935.374278636868</v>
      </c>
      <c r="H44" s="234">
        <v>5.63</v>
      </c>
      <c r="I44" s="234">
        <v>7.4649999999999999</v>
      </c>
      <c r="J44" s="232">
        <v>2.703855152959699</v>
      </c>
      <c r="K44" s="235">
        <v>119836.57</v>
      </c>
      <c r="L44" s="236">
        <v>2.7428537540030839E-2</v>
      </c>
      <c r="M44" s="237">
        <v>160</v>
      </c>
      <c r="N44" s="236">
        <v>2.7E-2</v>
      </c>
      <c r="O44" s="236">
        <v>3.3000000000000002E-2</v>
      </c>
      <c r="P44" s="238">
        <v>24455</v>
      </c>
    </row>
    <row r="45" spans="1:16">
      <c r="A45" s="204"/>
      <c r="B45" s="216" t="s">
        <v>55</v>
      </c>
      <c r="C45" s="217" t="s">
        <v>58</v>
      </c>
      <c r="D45" s="232">
        <v>6.89</v>
      </c>
      <c r="E45" s="232">
        <v>84.6</v>
      </c>
      <c r="F45" s="232">
        <v>21.089931573802541</v>
      </c>
      <c r="G45" s="233">
        <v>42776.916598599571</v>
      </c>
      <c r="H45" s="234">
        <v>5.63</v>
      </c>
      <c r="I45" s="234">
        <v>7.5399999999999991</v>
      </c>
      <c r="J45" s="232">
        <v>2.703855152959699</v>
      </c>
      <c r="K45" s="235">
        <v>114444.1</v>
      </c>
      <c r="L45" s="236">
        <v>2.7428537540030839E-2</v>
      </c>
      <c r="M45" s="237">
        <v>160</v>
      </c>
      <c r="N45" s="236">
        <v>2.7E-2</v>
      </c>
      <c r="O45" s="236">
        <v>3.3000000000000002E-2</v>
      </c>
      <c r="P45" s="238">
        <v>24696</v>
      </c>
    </row>
    <row r="46" spans="1:16">
      <c r="A46" s="204"/>
      <c r="B46" s="216" t="s">
        <v>55</v>
      </c>
      <c r="C46" s="217" t="s">
        <v>59</v>
      </c>
      <c r="D46" s="232">
        <v>7.25</v>
      </c>
      <c r="E46" s="232">
        <v>83.97</v>
      </c>
      <c r="F46" s="232">
        <v>18.897239941893513</v>
      </c>
      <c r="G46" s="233">
        <v>69962.598948637489</v>
      </c>
      <c r="H46" s="234">
        <v>4.12</v>
      </c>
      <c r="I46" s="234">
        <v>5.65</v>
      </c>
      <c r="J46" s="232">
        <v>2.703855152959699</v>
      </c>
      <c r="K46" s="235">
        <v>183069.1</v>
      </c>
      <c r="L46" s="236">
        <v>2.7428537540030839E-2</v>
      </c>
      <c r="M46" s="237">
        <v>160</v>
      </c>
      <c r="N46" s="236">
        <v>2.7E-2</v>
      </c>
      <c r="O46" s="236">
        <v>3.3000000000000002E-2</v>
      </c>
      <c r="P46" s="238">
        <v>19807</v>
      </c>
    </row>
    <row r="47" spans="1:16">
      <c r="A47" s="204"/>
      <c r="B47" s="216" t="s">
        <v>55</v>
      </c>
      <c r="C47" s="217" t="s">
        <v>60</v>
      </c>
      <c r="D47" s="232">
        <v>6.17</v>
      </c>
      <c r="E47" s="232">
        <v>84.78</v>
      </c>
      <c r="F47" s="232">
        <v>20.568614282516229</v>
      </c>
      <c r="G47" s="233">
        <v>49812.688499088188</v>
      </c>
      <c r="H47" s="234">
        <v>5.27</v>
      </c>
      <c r="I47" s="234">
        <v>7.18</v>
      </c>
      <c r="J47" s="232">
        <v>2.703855152959699</v>
      </c>
      <c r="K47" s="235">
        <v>120876.72</v>
      </c>
      <c r="L47" s="236">
        <v>2.7428537540030839E-2</v>
      </c>
      <c r="M47" s="237">
        <v>160</v>
      </c>
      <c r="N47" s="236">
        <v>2.7E-2</v>
      </c>
      <c r="O47" s="236">
        <v>3.3000000000000002E-2</v>
      </c>
      <c r="P47" s="238">
        <v>27382</v>
      </c>
    </row>
    <row r="48" spans="1:16">
      <c r="A48" s="204"/>
      <c r="B48" s="216" t="s">
        <v>55</v>
      </c>
      <c r="C48" s="217" t="s">
        <v>61</v>
      </c>
      <c r="D48" s="232">
        <v>3.97</v>
      </c>
      <c r="E48" s="232">
        <v>85.53</v>
      </c>
      <c r="F48" s="232">
        <v>16.310488823384919</v>
      </c>
      <c r="G48" s="233">
        <v>58449.463667455282</v>
      </c>
      <c r="H48" s="234">
        <v>4.5199999999999996</v>
      </c>
      <c r="I48" s="234">
        <v>6.1400000000000006</v>
      </c>
      <c r="J48" s="232">
        <v>2.703855152959699</v>
      </c>
      <c r="K48" s="235">
        <v>177386.51</v>
      </c>
      <c r="L48" s="236">
        <v>2.7428537540030839E-2</v>
      </c>
      <c r="M48" s="237">
        <v>160</v>
      </c>
      <c r="N48" s="236">
        <v>2.7E-2</v>
      </c>
      <c r="O48" s="236">
        <v>3.3000000000000002E-2</v>
      </c>
      <c r="P48" s="238">
        <v>20217</v>
      </c>
    </row>
    <row r="49" spans="1:16">
      <c r="A49" s="204"/>
      <c r="B49" s="216" t="s">
        <v>62</v>
      </c>
      <c r="C49" s="217" t="s">
        <v>63</v>
      </c>
      <c r="D49" s="232">
        <v>2.3199999999999998</v>
      </c>
      <c r="E49" s="232">
        <v>83.23</v>
      </c>
      <c r="F49" s="232">
        <v>46.390658174097666</v>
      </c>
      <c r="G49" s="233">
        <v>40657.193469354628</v>
      </c>
      <c r="H49" s="234">
        <v>6.59</v>
      </c>
      <c r="I49" s="234">
        <v>8.6549999999999994</v>
      </c>
      <c r="J49" s="232">
        <v>3.1354236157438291</v>
      </c>
      <c r="K49" s="235">
        <v>94494.84</v>
      </c>
      <c r="L49" s="236">
        <v>2.3938872821074025E-2</v>
      </c>
      <c r="M49" s="237">
        <v>498</v>
      </c>
      <c r="N49" s="236">
        <v>2.9000000000000001E-2</v>
      </c>
      <c r="O49" s="236">
        <v>3.4000000000000002E-2</v>
      </c>
      <c r="P49" s="238">
        <v>3454</v>
      </c>
    </row>
    <row r="50" spans="1:16">
      <c r="A50" s="204"/>
      <c r="B50" s="216" t="s">
        <v>62</v>
      </c>
      <c r="C50" s="217" t="s">
        <v>64</v>
      </c>
      <c r="D50" s="232">
        <v>4.59</v>
      </c>
      <c r="E50" s="232">
        <v>86.4</v>
      </c>
      <c r="F50" s="232">
        <v>15.339233038348082</v>
      </c>
      <c r="G50" s="233">
        <v>79413.251321153861</v>
      </c>
      <c r="H50" s="234">
        <v>4.18</v>
      </c>
      <c r="I50" s="234">
        <v>5.6749999999999998</v>
      </c>
      <c r="J50" s="232">
        <v>3.1354236157438291</v>
      </c>
      <c r="K50" s="235">
        <v>173080.95999999999</v>
      </c>
      <c r="L50" s="236">
        <v>2.3938872821074025E-2</v>
      </c>
      <c r="M50" s="237">
        <v>498</v>
      </c>
      <c r="N50" s="236">
        <v>2.9000000000000001E-2</v>
      </c>
      <c r="O50" s="236">
        <v>3.4000000000000002E-2</v>
      </c>
      <c r="P50" s="238">
        <v>3265</v>
      </c>
    </row>
    <row r="51" spans="1:16">
      <c r="A51" s="204"/>
      <c r="B51" s="216" t="s">
        <v>62</v>
      </c>
      <c r="C51" s="217" t="s">
        <v>65</v>
      </c>
      <c r="D51" s="232">
        <v>5.2</v>
      </c>
      <c r="E51" s="232">
        <v>85.49</v>
      </c>
      <c r="F51" s="232">
        <v>34.60144410513999</v>
      </c>
      <c r="G51" s="233">
        <v>46484.096164430717</v>
      </c>
      <c r="H51" s="234">
        <v>6.4</v>
      </c>
      <c r="I51" s="234">
        <v>8.0950000000000006</v>
      </c>
      <c r="J51" s="232">
        <v>3.1354236157438291</v>
      </c>
      <c r="K51" s="235">
        <v>100460.69</v>
      </c>
      <c r="L51" s="236">
        <v>2.3938872821074025E-2</v>
      </c>
      <c r="M51" s="237">
        <v>498</v>
      </c>
      <c r="N51" s="236">
        <v>2.9000000000000001E-2</v>
      </c>
      <c r="O51" s="236">
        <v>3.4000000000000002E-2</v>
      </c>
      <c r="P51" s="238">
        <v>44508</v>
      </c>
    </row>
    <row r="52" spans="1:16">
      <c r="A52" s="204"/>
      <c r="B52" s="216" t="s">
        <v>62</v>
      </c>
      <c r="C52" s="217" t="s">
        <v>321</v>
      </c>
      <c r="D52" s="232">
        <v>8.34</v>
      </c>
      <c r="E52" s="232">
        <v>85.53</v>
      </c>
      <c r="F52" s="232">
        <v>43.074878849460681</v>
      </c>
      <c r="G52" s="233">
        <v>34259.867765766263</v>
      </c>
      <c r="H52" s="234">
        <v>7.11</v>
      </c>
      <c r="I52" s="234">
        <v>9.1549999999999994</v>
      </c>
      <c r="J52" s="232">
        <v>3.1354236157438291</v>
      </c>
      <c r="K52" s="235">
        <v>75033.09</v>
      </c>
      <c r="L52" s="236">
        <v>2.3938872821074025E-2</v>
      </c>
      <c r="M52" s="237">
        <v>498</v>
      </c>
      <c r="N52" s="236">
        <v>2.9000000000000001E-2</v>
      </c>
      <c r="O52" s="236">
        <v>3.4000000000000002E-2</v>
      </c>
      <c r="P52" s="238">
        <v>46419</v>
      </c>
    </row>
    <row r="53" spans="1:16">
      <c r="A53" s="204"/>
      <c r="B53" s="216" t="s">
        <v>62</v>
      </c>
      <c r="C53" s="217" t="s">
        <v>66</v>
      </c>
      <c r="D53" s="232">
        <v>3.16</v>
      </c>
      <c r="E53" s="232">
        <v>85.8</v>
      </c>
      <c r="F53" s="232">
        <v>23.109137513989676</v>
      </c>
      <c r="G53" s="233">
        <v>59243.286056378725</v>
      </c>
      <c r="H53" s="234">
        <v>5.16</v>
      </c>
      <c r="I53" s="234">
        <v>6.59</v>
      </c>
      <c r="J53" s="232">
        <v>3.1354236157438291</v>
      </c>
      <c r="K53" s="235">
        <v>96062.43</v>
      </c>
      <c r="L53" s="236">
        <v>2.3938872821074025E-2</v>
      </c>
      <c r="M53" s="237">
        <v>498</v>
      </c>
      <c r="N53" s="236">
        <v>2.9000000000000001E-2</v>
      </c>
      <c r="O53" s="236">
        <v>3.4000000000000002E-2</v>
      </c>
      <c r="P53" s="238">
        <v>33765</v>
      </c>
    </row>
    <row r="54" spans="1:16">
      <c r="A54" s="204"/>
      <c r="B54" s="216" t="s">
        <v>62</v>
      </c>
      <c r="C54" s="217" t="s">
        <v>67</v>
      </c>
      <c r="D54" s="232">
        <v>8.01</v>
      </c>
      <c r="E54" s="232">
        <v>84.65</v>
      </c>
      <c r="F54" s="232">
        <v>29.866802096077933</v>
      </c>
      <c r="G54" s="233">
        <v>43897.86647519769</v>
      </c>
      <c r="H54" s="234">
        <v>6.44</v>
      </c>
      <c r="I54" s="234">
        <v>7.915</v>
      </c>
      <c r="J54" s="232">
        <v>3.1354236157438291</v>
      </c>
      <c r="K54" s="235">
        <v>84306.14</v>
      </c>
      <c r="L54" s="236">
        <v>2.3938872821074025E-2</v>
      </c>
      <c r="M54" s="237">
        <v>498</v>
      </c>
      <c r="N54" s="236">
        <v>2.9000000000000001E-2</v>
      </c>
      <c r="O54" s="236">
        <v>3.4000000000000002E-2</v>
      </c>
      <c r="P54" s="238">
        <v>63201</v>
      </c>
    </row>
    <row r="55" spans="1:16">
      <c r="A55" s="204"/>
      <c r="B55" s="216" t="s">
        <v>62</v>
      </c>
      <c r="C55" s="217" t="s">
        <v>68</v>
      </c>
      <c r="D55" s="232">
        <v>2.25</v>
      </c>
      <c r="E55" s="232">
        <v>84.41</v>
      </c>
      <c r="F55" s="232">
        <v>15.035951579138983</v>
      </c>
      <c r="G55" s="233">
        <v>69353.135084250243</v>
      </c>
      <c r="H55" s="234">
        <v>4.04</v>
      </c>
      <c r="I55" s="234">
        <v>5.24</v>
      </c>
      <c r="J55" s="232">
        <v>3.1354236157438291</v>
      </c>
      <c r="K55" s="235">
        <v>137984.76999999999</v>
      </c>
      <c r="L55" s="236">
        <v>2.3938872821074025E-2</v>
      </c>
      <c r="M55" s="237">
        <v>498</v>
      </c>
      <c r="N55" s="236">
        <v>2.9000000000000001E-2</v>
      </c>
      <c r="O55" s="236">
        <v>3.4000000000000002E-2</v>
      </c>
      <c r="P55" s="238">
        <v>32898</v>
      </c>
    </row>
    <row r="56" spans="1:16">
      <c r="A56" s="204"/>
      <c r="B56" s="216" t="s">
        <v>62</v>
      </c>
      <c r="C56" s="217" t="s">
        <v>69</v>
      </c>
      <c r="D56" s="232">
        <v>2.39</v>
      </c>
      <c r="E56" s="232">
        <v>102.95</v>
      </c>
      <c r="F56" s="232">
        <v>14.933854212909527</v>
      </c>
      <c r="G56" s="233">
        <v>60055.593944140215</v>
      </c>
      <c r="H56" s="234">
        <v>3.6</v>
      </c>
      <c r="I56" s="234">
        <v>4.97</v>
      </c>
      <c r="J56" s="232">
        <v>3.1354236157438291</v>
      </c>
      <c r="K56" s="235">
        <v>82361.86</v>
      </c>
      <c r="L56" s="236">
        <v>2.3938872821074025E-2</v>
      </c>
      <c r="M56" s="237">
        <v>498</v>
      </c>
      <c r="N56" s="236">
        <v>2.9000000000000001E-2</v>
      </c>
      <c r="O56" s="236">
        <v>3.4000000000000002E-2</v>
      </c>
      <c r="P56" s="238">
        <v>18511</v>
      </c>
    </row>
    <row r="57" spans="1:16">
      <c r="A57" s="204"/>
      <c r="B57" s="216" t="s">
        <v>70</v>
      </c>
      <c r="C57" s="217" t="s">
        <v>71</v>
      </c>
      <c r="D57" s="232">
        <v>4.55</v>
      </c>
      <c r="E57" s="232">
        <v>81.2</v>
      </c>
      <c r="F57" s="232">
        <v>27.466842253786098</v>
      </c>
      <c r="G57" s="233">
        <v>55237.794579954585</v>
      </c>
      <c r="H57" s="234">
        <v>6.7</v>
      </c>
      <c r="I57" s="234">
        <v>8.745000000000001</v>
      </c>
      <c r="J57" s="232">
        <v>2.8073860836639954</v>
      </c>
      <c r="K57" s="235">
        <v>93028.53</v>
      </c>
      <c r="L57" s="236">
        <v>2.5117559353136826E-2</v>
      </c>
      <c r="M57" s="237">
        <v>245</v>
      </c>
      <c r="N57" s="236">
        <v>2.3E-2</v>
      </c>
      <c r="O57" s="236">
        <v>2.9000000000000001E-2</v>
      </c>
      <c r="P57" s="238">
        <v>12991</v>
      </c>
    </row>
    <row r="58" spans="1:16">
      <c r="A58" s="204"/>
      <c r="B58" s="216" t="s">
        <v>70</v>
      </c>
      <c r="C58" s="217" t="s">
        <v>72</v>
      </c>
      <c r="D58" s="232">
        <v>7.14</v>
      </c>
      <c r="E58" s="232">
        <v>86.67</v>
      </c>
      <c r="F58" s="232">
        <v>19.905717761557177</v>
      </c>
      <c r="G58" s="233">
        <v>52002.947036629535</v>
      </c>
      <c r="H58" s="234">
        <v>5.18</v>
      </c>
      <c r="I58" s="234">
        <v>6.835</v>
      </c>
      <c r="J58" s="232">
        <v>2.8073860836639954</v>
      </c>
      <c r="K58" s="235">
        <v>200588.79999999999</v>
      </c>
      <c r="L58" s="236">
        <v>2.5117559353136826E-2</v>
      </c>
      <c r="M58" s="237">
        <v>245</v>
      </c>
      <c r="N58" s="236">
        <v>2.3E-2</v>
      </c>
      <c r="O58" s="236">
        <v>2.9000000000000001E-2</v>
      </c>
      <c r="P58" s="238">
        <v>24093</v>
      </c>
    </row>
    <row r="59" spans="1:16">
      <c r="A59" s="204"/>
      <c r="B59" s="216" t="s">
        <v>70</v>
      </c>
      <c r="C59" s="217" t="s">
        <v>73</v>
      </c>
      <c r="D59" s="232">
        <v>6.67</v>
      </c>
      <c r="E59" s="232">
        <v>86.41</v>
      </c>
      <c r="F59" s="232">
        <v>17.638646114730655</v>
      </c>
      <c r="G59" s="233">
        <v>61443.988350595595</v>
      </c>
      <c r="H59" s="234">
        <v>4.29</v>
      </c>
      <c r="I59" s="234">
        <v>5.8149999999999995</v>
      </c>
      <c r="J59" s="232">
        <v>2.8073860836639954</v>
      </c>
      <c r="K59" s="235">
        <v>153777.20000000001</v>
      </c>
      <c r="L59" s="236">
        <v>2.5117559353136826E-2</v>
      </c>
      <c r="M59" s="237">
        <v>245</v>
      </c>
      <c r="N59" s="236">
        <v>2.3E-2</v>
      </c>
      <c r="O59" s="236">
        <v>2.9000000000000001E-2</v>
      </c>
      <c r="P59" s="238">
        <v>16260</v>
      </c>
    </row>
    <row r="60" spans="1:16">
      <c r="A60" s="204"/>
      <c r="B60" s="216" t="s">
        <v>70</v>
      </c>
      <c r="C60" s="217" t="s">
        <v>74</v>
      </c>
      <c r="D60" s="232">
        <v>8.44</v>
      </c>
      <c r="E60" s="232">
        <v>85.01</v>
      </c>
      <c r="F60" s="232">
        <v>39.101554183521394</v>
      </c>
      <c r="G60" s="233">
        <v>35550.042138920595</v>
      </c>
      <c r="H60" s="234">
        <v>7.4</v>
      </c>
      <c r="I60" s="234">
        <v>8.870000000000001</v>
      </c>
      <c r="J60" s="232">
        <v>2.8073860836639954</v>
      </c>
      <c r="K60" s="235">
        <v>81626.81</v>
      </c>
      <c r="L60" s="236">
        <v>2.5117559353136826E-2</v>
      </c>
      <c r="M60" s="237">
        <v>245</v>
      </c>
      <c r="N60" s="236">
        <v>2.3E-2</v>
      </c>
      <c r="O60" s="236">
        <v>2.9000000000000001E-2</v>
      </c>
      <c r="P60" s="238">
        <v>29722</v>
      </c>
    </row>
    <row r="61" spans="1:16">
      <c r="A61" s="204"/>
      <c r="B61" s="216" t="s">
        <v>70</v>
      </c>
      <c r="C61" s="217" t="s">
        <v>75</v>
      </c>
      <c r="D61" s="232">
        <v>5.9</v>
      </c>
      <c r="E61" s="232">
        <v>83.49</v>
      </c>
      <c r="F61" s="232">
        <v>14.090909090909092</v>
      </c>
      <c r="G61" s="233">
        <v>88034.930533867577</v>
      </c>
      <c r="H61" s="234">
        <v>3.34</v>
      </c>
      <c r="I61" s="234">
        <v>4.6050000000000004</v>
      </c>
      <c r="J61" s="232">
        <v>2.8073860836639954</v>
      </c>
      <c r="K61" s="235">
        <v>201101.71</v>
      </c>
      <c r="L61" s="236">
        <v>2.5117559353136826E-2</v>
      </c>
      <c r="M61" s="237">
        <v>245</v>
      </c>
      <c r="N61" s="236">
        <v>2.3E-2</v>
      </c>
      <c r="O61" s="236">
        <v>2.9000000000000001E-2</v>
      </c>
      <c r="P61" s="238">
        <v>6726</v>
      </c>
    </row>
    <row r="62" spans="1:16">
      <c r="A62" s="204"/>
      <c r="B62" s="216" t="s">
        <v>70</v>
      </c>
      <c r="C62" s="217" t="s">
        <v>76</v>
      </c>
      <c r="D62" s="232">
        <v>5.52</v>
      </c>
      <c r="E62" s="232">
        <v>81.92</v>
      </c>
      <c r="F62" s="232">
        <v>16.44736842105263</v>
      </c>
      <c r="G62" s="233">
        <v>89015</v>
      </c>
      <c r="H62" s="234">
        <v>3.56</v>
      </c>
      <c r="I62" s="234">
        <v>4.4800000000000004</v>
      </c>
      <c r="J62" s="232">
        <v>2.8073860836639954</v>
      </c>
      <c r="K62" s="235">
        <v>329947.68</v>
      </c>
      <c r="L62" s="236">
        <v>2.5117559353136826E-2</v>
      </c>
      <c r="M62" s="237">
        <v>245</v>
      </c>
      <c r="N62" s="236">
        <v>2.3E-2</v>
      </c>
      <c r="O62" s="236">
        <v>2.9000000000000001E-2</v>
      </c>
      <c r="P62" s="238">
        <v>2808</v>
      </c>
    </row>
    <row r="63" spans="1:16">
      <c r="A63" s="204"/>
      <c r="B63" s="216" t="s">
        <v>70</v>
      </c>
      <c r="C63" s="217" t="s">
        <v>77</v>
      </c>
      <c r="D63" s="232">
        <v>4.8499999999999996</v>
      </c>
      <c r="E63" s="232">
        <v>84.91</v>
      </c>
      <c r="F63" s="232">
        <v>18.253571230059475</v>
      </c>
      <c r="G63" s="233">
        <v>68119.674369766071</v>
      </c>
      <c r="H63" s="234">
        <v>4.03</v>
      </c>
      <c r="I63" s="234">
        <v>5.3849999999999998</v>
      </c>
      <c r="J63" s="232">
        <v>2.8073860836639954</v>
      </c>
      <c r="K63" s="235">
        <v>147225.70000000001</v>
      </c>
      <c r="L63" s="236">
        <v>2.5117559353136826E-2</v>
      </c>
      <c r="M63" s="237">
        <v>245</v>
      </c>
      <c r="N63" s="236">
        <v>2.3E-2</v>
      </c>
      <c r="O63" s="236">
        <v>2.9000000000000001E-2</v>
      </c>
      <c r="P63" s="238">
        <v>26823</v>
      </c>
    </row>
    <row r="64" spans="1:16">
      <c r="A64" s="204"/>
      <c r="B64" s="216" t="s">
        <v>78</v>
      </c>
      <c r="C64" s="217" t="s">
        <v>322</v>
      </c>
      <c r="D64" s="232">
        <v>10.78</v>
      </c>
      <c r="E64" s="232">
        <v>84.25</v>
      </c>
      <c r="F64" s="232">
        <v>50.479110770410117</v>
      </c>
      <c r="G64" s="233">
        <v>25530.027172177135</v>
      </c>
      <c r="H64" s="234">
        <v>10.85</v>
      </c>
      <c r="I64" s="234">
        <v>12.364999999999998</v>
      </c>
      <c r="J64" s="232">
        <v>4.8734745628400864</v>
      </c>
      <c r="K64" s="235">
        <v>63908.07</v>
      </c>
      <c r="L64" s="236">
        <v>4.0725744972809973E-2</v>
      </c>
      <c r="M64" s="237">
        <v>1275</v>
      </c>
      <c r="N64" s="236">
        <v>4.5999999999999999E-2</v>
      </c>
      <c r="O64" s="236">
        <v>5.0999999999999997E-2</v>
      </c>
      <c r="P64" s="238">
        <v>17397</v>
      </c>
    </row>
    <row r="65" spans="1:16">
      <c r="A65" s="204"/>
      <c r="B65" s="216" t="s">
        <v>78</v>
      </c>
      <c r="C65" s="217" t="s">
        <v>323</v>
      </c>
      <c r="D65" s="232">
        <v>14.9</v>
      </c>
      <c r="E65" s="232">
        <v>84.36</v>
      </c>
      <c r="F65" s="232">
        <v>47.263069443610824</v>
      </c>
      <c r="G65" s="233">
        <v>28421.211145755147</v>
      </c>
      <c r="H65" s="234">
        <v>9.26</v>
      </c>
      <c r="I65" s="234">
        <v>11.715</v>
      </c>
      <c r="J65" s="232">
        <v>4.8734745628400864</v>
      </c>
      <c r="K65" s="235">
        <v>69433.490000000005</v>
      </c>
      <c r="L65" s="236">
        <v>4.0725744972809973E-2</v>
      </c>
      <c r="M65" s="237">
        <v>1275</v>
      </c>
      <c r="N65" s="236">
        <v>4.5999999999999999E-2</v>
      </c>
      <c r="O65" s="236">
        <v>5.0999999999999997E-2</v>
      </c>
      <c r="P65" s="238">
        <v>41730</v>
      </c>
    </row>
    <row r="66" spans="1:16">
      <c r="A66" s="204"/>
      <c r="B66" s="216" t="s">
        <v>78</v>
      </c>
      <c r="C66" s="217" t="s">
        <v>79</v>
      </c>
      <c r="D66" s="232">
        <v>13.26</v>
      </c>
      <c r="E66" s="232">
        <v>85.52</v>
      </c>
      <c r="F66" s="232">
        <v>49.731249777524653</v>
      </c>
      <c r="G66" s="233">
        <v>30371.402269660004</v>
      </c>
      <c r="H66" s="234">
        <v>8.67</v>
      </c>
      <c r="I66" s="234">
        <v>10.265000000000001</v>
      </c>
      <c r="J66" s="232">
        <v>4.8734745628400864</v>
      </c>
      <c r="K66" s="235">
        <v>63106.83</v>
      </c>
      <c r="L66" s="236">
        <v>4.0725744972809973E-2</v>
      </c>
      <c r="M66" s="237">
        <v>1275</v>
      </c>
      <c r="N66" s="236">
        <v>4.5999999999999999E-2</v>
      </c>
      <c r="O66" s="236">
        <v>5.0999999999999997E-2</v>
      </c>
      <c r="P66" s="238">
        <v>36090</v>
      </c>
    </row>
    <row r="67" spans="1:16">
      <c r="A67" s="204"/>
      <c r="B67" s="216" t="s">
        <v>78</v>
      </c>
      <c r="C67" s="217" t="s">
        <v>80</v>
      </c>
      <c r="D67" s="232">
        <v>11.43</v>
      </c>
      <c r="E67" s="232">
        <v>85.66</v>
      </c>
      <c r="F67" s="232">
        <v>50.651983853866327</v>
      </c>
      <c r="G67" s="233">
        <v>31245.090557358908</v>
      </c>
      <c r="H67" s="234">
        <v>8.1300000000000008</v>
      </c>
      <c r="I67" s="234">
        <v>9.8849999999999998</v>
      </c>
      <c r="J67" s="232">
        <v>4.8734745628400864</v>
      </c>
      <c r="K67" s="235">
        <v>59139.41</v>
      </c>
      <c r="L67" s="236">
        <v>4.0725744972809973E-2</v>
      </c>
      <c r="M67" s="237">
        <v>1275</v>
      </c>
      <c r="N67" s="236">
        <v>4.5999999999999999E-2</v>
      </c>
      <c r="O67" s="236">
        <v>5.0999999999999997E-2</v>
      </c>
      <c r="P67" s="238">
        <v>66351</v>
      </c>
    </row>
    <row r="68" spans="1:16">
      <c r="A68" s="204"/>
      <c r="B68" s="216" t="s">
        <v>78</v>
      </c>
      <c r="C68" s="217" t="s">
        <v>81</v>
      </c>
      <c r="D68" s="232">
        <v>13.49</v>
      </c>
      <c r="E68" s="232">
        <v>85.98</v>
      </c>
      <c r="F68" s="232">
        <v>47.044157207532315</v>
      </c>
      <c r="G68" s="233">
        <v>31966.927904872642</v>
      </c>
      <c r="H68" s="234">
        <v>7.06</v>
      </c>
      <c r="I68" s="234">
        <v>8.6649999999999991</v>
      </c>
      <c r="J68" s="232">
        <v>4.8734745628400864</v>
      </c>
      <c r="K68" s="235">
        <v>63612.84</v>
      </c>
      <c r="L68" s="236">
        <v>4.0725744972809973E-2</v>
      </c>
      <c r="M68" s="237">
        <v>1275</v>
      </c>
      <c r="N68" s="236">
        <v>4.5999999999999999E-2</v>
      </c>
      <c r="O68" s="236">
        <v>5.0999999999999997E-2</v>
      </c>
      <c r="P68" s="238">
        <v>19281</v>
      </c>
    </row>
    <row r="69" spans="1:16">
      <c r="A69" s="204"/>
      <c r="B69" s="216" t="s">
        <v>78</v>
      </c>
      <c r="C69" s="217" t="s">
        <v>82</v>
      </c>
      <c r="D69" s="232">
        <v>4.1100000000000003</v>
      </c>
      <c r="E69" s="232">
        <v>88.21</v>
      </c>
      <c r="F69" s="232">
        <v>29.392570281124499</v>
      </c>
      <c r="G69" s="233">
        <v>35491.548435274912</v>
      </c>
      <c r="H69" s="234">
        <v>7.84</v>
      </c>
      <c r="I69" s="234">
        <v>9.6850000000000005</v>
      </c>
      <c r="J69" s="232">
        <v>4.8734745628400864</v>
      </c>
      <c r="K69" s="235">
        <v>60311.44</v>
      </c>
      <c r="L69" s="236">
        <v>4.0725744972809973E-2</v>
      </c>
      <c r="M69" s="237">
        <v>1275</v>
      </c>
      <c r="N69" s="236">
        <v>4.5999999999999999E-2</v>
      </c>
      <c r="O69" s="236">
        <v>5.0999999999999997E-2</v>
      </c>
      <c r="P69" s="238">
        <v>5748</v>
      </c>
    </row>
    <row r="70" spans="1:16">
      <c r="A70" s="204"/>
      <c r="B70" s="216" t="s">
        <v>78</v>
      </c>
      <c r="C70" s="217" t="s">
        <v>83</v>
      </c>
      <c r="D70" s="232">
        <v>7.95</v>
      </c>
      <c r="E70" s="232">
        <v>85.08</v>
      </c>
      <c r="F70" s="232">
        <v>52.705192223784358</v>
      </c>
      <c r="G70" s="233">
        <v>30302.515152026659</v>
      </c>
      <c r="H70" s="234">
        <v>8.01</v>
      </c>
      <c r="I70" s="234">
        <v>9.3049999999999997</v>
      </c>
      <c r="J70" s="232">
        <v>4.8734745628400864</v>
      </c>
      <c r="K70" s="235">
        <v>55757.16</v>
      </c>
      <c r="L70" s="236">
        <v>4.0725744972809973E-2</v>
      </c>
      <c r="M70" s="237">
        <v>1275</v>
      </c>
      <c r="N70" s="236">
        <v>4.5999999999999999E-2</v>
      </c>
      <c r="O70" s="236">
        <v>5.0999999999999997E-2</v>
      </c>
      <c r="P70" s="238">
        <v>51557</v>
      </c>
    </row>
    <row r="71" spans="1:16">
      <c r="A71" s="204"/>
      <c r="B71" s="216" t="s">
        <v>84</v>
      </c>
      <c r="C71" s="217" t="s">
        <v>85</v>
      </c>
      <c r="D71" s="232">
        <v>13.25</v>
      </c>
      <c r="E71" s="232">
        <v>85.41</v>
      </c>
      <c r="F71" s="232">
        <v>48.202426038750758</v>
      </c>
      <c r="G71" s="233">
        <v>32240.757879832585</v>
      </c>
      <c r="H71" s="234">
        <v>9.1300000000000008</v>
      </c>
      <c r="I71" s="234">
        <v>11.34</v>
      </c>
      <c r="J71" s="232">
        <v>5.5691431542133367</v>
      </c>
      <c r="K71" s="235">
        <v>58692.95</v>
      </c>
      <c r="L71" s="236">
        <v>4.7766711161310198E-2</v>
      </c>
      <c r="M71" s="237">
        <v>2027</v>
      </c>
      <c r="N71" s="236">
        <v>5.3999999999999999E-2</v>
      </c>
      <c r="O71" s="236">
        <v>5.7000000000000002E-2</v>
      </c>
      <c r="P71" s="238">
        <v>22403</v>
      </c>
    </row>
    <row r="72" spans="1:16">
      <c r="A72" s="204"/>
      <c r="B72" s="216" t="s">
        <v>84</v>
      </c>
      <c r="C72" s="217" t="s">
        <v>86</v>
      </c>
      <c r="D72" s="232">
        <v>16.89</v>
      </c>
      <c r="E72" s="232">
        <v>84.44</v>
      </c>
      <c r="F72" s="232">
        <v>51.406826568265686</v>
      </c>
      <c r="G72" s="233">
        <v>28304.777621117308</v>
      </c>
      <c r="H72" s="234">
        <v>8.36</v>
      </c>
      <c r="I72" s="234">
        <v>10.405000000000001</v>
      </c>
      <c r="J72" s="232">
        <v>5.5691431542133367</v>
      </c>
      <c r="K72" s="235">
        <v>53886.73</v>
      </c>
      <c r="L72" s="236">
        <v>4.7766711161310198E-2</v>
      </c>
      <c r="M72" s="237">
        <v>2027</v>
      </c>
      <c r="N72" s="236">
        <v>5.3999999999999999E-2</v>
      </c>
      <c r="O72" s="236">
        <v>5.7000000000000002E-2</v>
      </c>
      <c r="P72" s="238">
        <v>33051</v>
      </c>
    </row>
    <row r="73" spans="1:16">
      <c r="A73" s="204"/>
      <c r="B73" s="216" t="s">
        <v>84</v>
      </c>
      <c r="C73" s="217" t="s">
        <v>87</v>
      </c>
      <c r="D73" s="232">
        <v>15.09</v>
      </c>
      <c r="E73" s="232">
        <v>84.27</v>
      </c>
      <c r="F73" s="232">
        <v>55.626594229304004</v>
      </c>
      <c r="G73" s="233">
        <v>26487.127214945063</v>
      </c>
      <c r="H73" s="234">
        <v>11.29</v>
      </c>
      <c r="I73" s="234">
        <v>13.5</v>
      </c>
      <c r="J73" s="232">
        <v>5.5691431542133367</v>
      </c>
      <c r="K73" s="235">
        <v>50371.49</v>
      </c>
      <c r="L73" s="236">
        <v>4.7766711161310198E-2</v>
      </c>
      <c r="M73" s="237">
        <v>2027</v>
      </c>
      <c r="N73" s="236">
        <v>5.3999999999999999E-2</v>
      </c>
      <c r="O73" s="236">
        <v>5.7000000000000002E-2</v>
      </c>
      <c r="P73" s="238">
        <v>38957</v>
      </c>
    </row>
    <row r="74" spans="1:16">
      <c r="A74" s="204"/>
      <c r="B74" s="216" t="s">
        <v>84</v>
      </c>
      <c r="C74" s="217" t="s">
        <v>88</v>
      </c>
      <c r="D74" s="232">
        <v>18.13</v>
      </c>
      <c r="E74" s="232">
        <v>84.54</v>
      </c>
      <c r="F74" s="232">
        <v>55.851786159687386</v>
      </c>
      <c r="G74" s="233">
        <v>28128.119823861882</v>
      </c>
      <c r="H74" s="234">
        <v>8.9</v>
      </c>
      <c r="I74" s="234">
        <v>10.815000000000001</v>
      </c>
      <c r="J74" s="232">
        <v>5.5691431542133367</v>
      </c>
      <c r="K74" s="235">
        <v>53391.4</v>
      </c>
      <c r="L74" s="236">
        <v>4.7766711161310198E-2</v>
      </c>
      <c r="M74" s="237">
        <v>2027</v>
      </c>
      <c r="N74" s="236">
        <v>5.3999999999999999E-2</v>
      </c>
      <c r="O74" s="236">
        <v>5.7000000000000002E-2</v>
      </c>
      <c r="P74" s="238">
        <v>45975</v>
      </c>
    </row>
    <row r="75" spans="1:16">
      <c r="A75" s="204"/>
      <c r="B75" s="216" t="s">
        <v>84</v>
      </c>
      <c r="C75" s="217" t="s">
        <v>89</v>
      </c>
      <c r="D75" s="232">
        <v>17.829999999999998</v>
      </c>
      <c r="E75" s="232">
        <v>84.03</v>
      </c>
      <c r="F75" s="232">
        <v>59.108786131581965</v>
      </c>
      <c r="G75" s="233">
        <v>26011.611799613318</v>
      </c>
      <c r="H75" s="234">
        <v>9.98</v>
      </c>
      <c r="I75" s="234">
        <v>11.785</v>
      </c>
      <c r="J75" s="232">
        <v>5.5691431542133367</v>
      </c>
      <c r="K75" s="235">
        <v>50154.26</v>
      </c>
      <c r="L75" s="236">
        <v>4.7766711161310198E-2</v>
      </c>
      <c r="M75" s="237">
        <v>2027</v>
      </c>
      <c r="N75" s="236">
        <v>5.3999999999999999E-2</v>
      </c>
      <c r="O75" s="236">
        <v>5.7000000000000002E-2</v>
      </c>
      <c r="P75" s="238">
        <v>34860</v>
      </c>
    </row>
    <row r="76" spans="1:16">
      <c r="A76" s="204"/>
      <c r="B76" s="216" t="s">
        <v>84</v>
      </c>
      <c r="C76" s="217" t="s">
        <v>90</v>
      </c>
      <c r="D76" s="232">
        <v>8.99</v>
      </c>
      <c r="E76" s="232">
        <v>85.2</v>
      </c>
      <c r="F76" s="232">
        <v>44.598636200502455</v>
      </c>
      <c r="G76" s="233">
        <v>31740.53870539305</v>
      </c>
      <c r="H76" s="234">
        <v>7.74</v>
      </c>
      <c r="I76" s="234">
        <v>8.5850000000000009</v>
      </c>
      <c r="J76" s="232">
        <v>5.5691431542133367</v>
      </c>
      <c r="K76" s="235">
        <v>53616.32</v>
      </c>
      <c r="L76" s="236">
        <v>4.7766711161310198E-2</v>
      </c>
      <c r="M76" s="237">
        <v>2027</v>
      </c>
      <c r="N76" s="236">
        <v>5.3999999999999999E-2</v>
      </c>
      <c r="O76" s="236">
        <v>5.7000000000000002E-2</v>
      </c>
      <c r="P76" s="238">
        <v>47055</v>
      </c>
    </row>
    <row r="77" spans="1:16">
      <c r="A77" s="204"/>
      <c r="B77" s="216" t="s">
        <v>84</v>
      </c>
      <c r="C77" s="217" t="s">
        <v>91</v>
      </c>
      <c r="D77" s="232">
        <v>15.71</v>
      </c>
      <c r="E77" s="232">
        <v>84.69</v>
      </c>
      <c r="F77" s="232">
        <v>55.782133929746088</v>
      </c>
      <c r="G77" s="233">
        <v>28513.255985806878</v>
      </c>
      <c r="H77" s="234">
        <v>9.57</v>
      </c>
      <c r="I77" s="234">
        <v>11.135</v>
      </c>
      <c r="J77" s="232">
        <v>5.5691431542133367</v>
      </c>
      <c r="K77" s="235">
        <v>50998.55</v>
      </c>
      <c r="L77" s="236">
        <v>4.7766711161310198E-2</v>
      </c>
      <c r="M77" s="237">
        <v>2027</v>
      </c>
      <c r="N77" s="236">
        <v>5.3999999999999999E-2</v>
      </c>
      <c r="O77" s="236">
        <v>5.7000000000000002E-2</v>
      </c>
      <c r="P77" s="238">
        <v>30739</v>
      </c>
    </row>
    <row r="78" spans="1:16">
      <c r="A78" s="204"/>
      <c r="B78" s="216" t="s">
        <v>92</v>
      </c>
      <c r="C78" s="217" t="s">
        <v>93</v>
      </c>
      <c r="D78" s="232">
        <v>6.09</v>
      </c>
      <c r="E78" s="232">
        <v>85.1</v>
      </c>
      <c r="F78" s="232">
        <v>61.050198542049429</v>
      </c>
      <c r="G78" s="233">
        <v>24998.38239042617</v>
      </c>
      <c r="H78" s="234">
        <v>10.27</v>
      </c>
      <c r="I78" s="234">
        <v>11.09</v>
      </c>
      <c r="J78" s="232">
        <v>6.0640408047605554</v>
      </c>
      <c r="K78" s="235">
        <v>53707.73</v>
      </c>
      <c r="L78" s="236">
        <v>6.3415453057455828E-2</v>
      </c>
      <c r="M78" s="237">
        <v>1564</v>
      </c>
      <c r="N78" s="236">
        <v>7.0000000000000007E-2</v>
      </c>
      <c r="O78" s="236">
        <v>8.2000000000000003E-2</v>
      </c>
      <c r="P78" s="238">
        <v>22837</v>
      </c>
    </row>
    <row r="79" spans="1:16">
      <c r="A79" s="204"/>
      <c r="B79" s="216" t="s">
        <v>92</v>
      </c>
      <c r="C79" s="217" t="s">
        <v>94</v>
      </c>
      <c r="D79" s="232">
        <v>12.33</v>
      </c>
      <c r="E79" s="232">
        <v>82.17</v>
      </c>
      <c r="F79" s="232">
        <v>65.261365912277185</v>
      </c>
      <c r="G79" s="233">
        <v>25064.374033605254</v>
      </c>
      <c r="H79" s="234">
        <v>12.32</v>
      </c>
      <c r="I79" s="234">
        <v>13.4</v>
      </c>
      <c r="J79" s="232">
        <v>6.0640408047605554</v>
      </c>
      <c r="K79" s="235">
        <v>53364.35</v>
      </c>
      <c r="L79" s="236">
        <v>6.3415453057455828E-2</v>
      </c>
      <c r="M79" s="237">
        <v>1564</v>
      </c>
      <c r="N79" s="236">
        <v>7.0000000000000007E-2</v>
      </c>
      <c r="O79" s="236">
        <v>8.2000000000000003E-2</v>
      </c>
      <c r="P79" s="238">
        <v>13808</v>
      </c>
    </row>
    <row r="80" spans="1:16">
      <c r="A80" s="204"/>
      <c r="B80" s="216" t="s">
        <v>92</v>
      </c>
      <c r="C80" s="217" t="s">
        <v>95</v>
      </c>
      <c r="D80" s="232">
        <v>15.36</v>
      </c>
      <c r="E80" s="232">
        <v>82.93</v>
      </c>
      <c r="F80" s="232">
        <v>58.775631500742939</v>
      </c>
      <c r="G80" s="233">
        <v>25998.218905385784</v>
      </c>
      <c r="H80" s="234">
        <v>10.11</v>
      </c>
      <c r="I80" s="234">
        <v>11.34</v>
      </c>
      <c r="J80" s="232">
        <v>6.0640408047605554</v>
      </c>
      <c r="K80" s="235">
        <v>50516.83</v>
      </c>
      <c r="L80" s="236">
        <v>6.3415453057455828E-2</v>
      </c>
      <c r="M80" s="237">
        <v>1564</v>
      </c>
      <c r="N80" s="236">
        <v>7.0000000000000007E-2</v>
      </c>
      <c r="O80" s="236">
        <v>8.2000000000000003E-2</v>
      </c>
      <c r="P80" s="238">
        <v>23666</v>
      </c>
    </row>
    <row r="81" spans="1:16">
      <c r="A81" s="204"/>
      <c r="B81" s="216" t="s">
        <v>92</v>
      </c>
      <c r="C81" s="217" t="s">
        <v>96</v>
      </c>
      <c r="D81" s="232">
        <v>24.41</v>
      </c>
      <c r="E81" s="232">
        <v>83.77</v>
      </c>
      <c r="F81" s="232">
        <v>60.182238032827811</v>
      </c>
      <c r="G81" s="233">
        <v>25886.787822663809</v>
      </c>
      <c r="H81" s="234">
        <v>9.43</v>
      </c>
      <c r="I81" s="234">
        <v>11.329999999999998</v>
      </c>
      <c r="J81" s="232">
        <v>6.0640408047605554</v>
      </c>
      <c r="K81" s="235">
        <v>54568.06</v>
      </c>
      <c r="L81" s="236">
        <v>6.3415453057455828E-2</v>
      </c>
      <c r="M81" s="237">
        <v>1564</v>
      </c>
      <c r="N81" s="236">
        <v>7.0000000000000007E-2</v>
      </c>
      <c r="O81" s="236">
        <v>8.2000000000000003E-2</v>
      </c>
      <c r="P81" s="238">
        <v>21439</v>
      </c>
    </row>
    <row r="82" spans="1:16">
      <c r="A82" s="204"/>
      <c r="B82" s="216" t="s">
        <v>92</v>
      </c>
      <c r="C82" s="217" t="s">
        <v>97</v>
      </c>
      <c r="D82" s="232">
        <v>23.71</v>
      </c>
      <c r="E82" s="232">
        <v>84.76</v>
      </c>
      <c r="F82" s="232">
        <v>57.133082449538144</v>
      </c>
      <c r="G82" s="233">
        <v>26567.264148777758</v>
      </c>
      <c r="H82" s="234">
        <v>8.56</v>
      </c>
      <c r="I82" s="234">
        <v>10.879999999999999</v>
      </c>
      <c r="J82" s="232">
        <v>6.0640408047605554</v>
      </c>
      <c r="K82" s="235">
        <v>51812.13</v>
      </c>
      <c r="L82" s="236">
        <v>6.3415453057455828E-2</v>
      </c>
      <c r="M82" s="237">
        <v>1564</v>
      </c>
      <c r="N82" s="236">
        <v>7.0000000000000007E-2</v>
      </c>
      <c r="O82" s="236">
        <v>8.2000000000000003E-2</v>
      </c>
      <c r="P82" s="238">
        <v>26353</v>
      </c>
    </row>
    <row r="83" spans="1:16">
      <c r="A83" s="204"/>
      <c r="B83" s="216" t="s">
        <v>92</v>
      </c>
      <c r="C83" s="217" t="s">
        <v>324</v>
      </c>
      <c r="D83" s="232">
        <v>19.600000000000001</v>
      </c>
      <c r="E83" s="232">
        <v>85.28</v>
      </c>
      <c r="F83" s="232">
        <v>63.022508038585208</v>
      </c>
      <c r="G83" s="233">
        <v>25753.380382685125</v>
      </c>
      <c r="H83" s="234">
        <v>9.36</v>
      </c>
      <c r="I83" s="234">
        <v>11.245000000000001</v>
      </c>
      <c r="J83" s="232">
        <v>6.0640408047605554</v>
      </c>
      <c r="K83" s="235">
        <v>42205.62</v>
      </c>
      <c r="L83" s="236">
        <v>6.3415453057455828E-2</v>
      </c>
      <c r="M83" s="237">
        <v>1564</v>
      </c>
      <c r="N83" s="236">
        <v>7.0000000000000007E-2</v>
      </c>
      <c r="O83" s="236">
        <v>8.2000000000000003E-2</v>
      </c>
      <c r="P83" s="238">
        <v>13968</v>
      </c>
    </row>
    <row r="84" spans="1:16">
      <c r="A84" s="204"/>
      <c r="B84" s="216" t="s">
        <v>92</v>
      </c>
      <c r="C84" s="217" t="s">
        <v>98</v>
      </c>
      <c r="D84" s="232">
        <v>31.14</v>
      </c>
      <c r="E84" s="232">
        <v>84.03</v>
      </c>
      <c r="F84" s="232">
        <v>69.125227410551844</v>
      </c>
      <c r="G84" s="233">
        <v>23478.687107608868</v>
      </c>
      <c r="H84" s="234">
        <v>9.2100000000000009</v>
      </c>
      <c r="I84" s="234">
        <v>11.09</v>
      </c>
      <c r="J84" s="232">
        <v>6.0640408047605554</v>
      </c>
      <c r="K84" s="235">
        <v>44223.66</v>
      </c>
      <c r="L84" s="236">
        <v>6.3415453057455828E-2</v>
      </c>
      <c r="M84" s="237">
        <v>1564</v>
      </c>
      <c r="N84" s="236">
        <v>7.0000000000000007E-2</v>
      </c>
      <c r="O84" s="236">
        <v>8.2000000000000003E-2</v>
      </c>
      <c r="P84" s="238">
        <v>17430</v>
      </c>
    </row>
    <row r="85" spans="1:16">
      <c r="A85" s="204"/>
      <c r="B85" s="216" t="s">
        <v>99</v>
      </c>
      <c r="C85" s="217" t="s">
        <v>100</v>
      </c>
      <c r="D85" s="232">
        <v>11.79</v>
      </c>
      <c r="E85" s="232">
        <v>83.14</v>
      </c>
      <c r="F85" s="232">
        <v>71.868316529178131</v>
      </c>
      <c r="G85" s="233">
        <v>21622.884063982714</v>
      </c>
      <c r="H85" s="234">
        <v>12.9</v>
      </c>
      <c r="I85" s="234">
        <v>14.59</v>
      </c>
      <c r="J85" s="232">
        <v>6.6941894140119542</v>
      </c>
      <c r="K85" s="235">
        <v>43005.1</v>
      </c>
      <c r="L85" s="236">
        <v>6.2042490283507001E-2</v>
      </c>
      <c r="M85" s="237">
        <v>3412</v>
      </c>
      <c r="N85" s="236">
        <v>7.1999999999999995E-2</v>
      </c>
      <c r="O85" s="236">
        <v>8.2000000000000003E-2</v>
      </c>
      <c r="P85" s="238">
        <v>34698</v>
      </c>
    </row>
    <row r="86" spans="1:16">
      <c r="A86" s="204"/>
      <c r="B86" s="216" t="s">
        <v>99</v>
      </c>
      <c r="C86" s="217" t="s">
        <v>101</v>
      </c>
      <c r="D86" s="232">
        <v>24.36</v>
      </c>
      <c r="E86" s="232">
        <v>83.57</v>
      </c>
      <c r="F86" s="232">
        <v>61.614066439033728</v>
      </c>
      <c r="G86" s="233">
        <v>21337.937648363783</v>
      </c>
      <c r="H86" s="234">
        <v>10.6</v>
      </c>
      <c r="I86" s="234">
        <v>13.350000000000001</v>
      </c>
      <c r="J86" s="232">
        <v>6.6941894140119542</v>
      </c>
      <c r="K86" s="235">
        <v>45260.05</v>
      </c>
      <c r="L86" s="236">
        <v>6.2042490283507001E-2</v>
      </c>
      <c r="M86" s="237">
        <v>3412</v>
      </c>
      <c r="N86" s="236">
        <v>7.1999999999999995E-2</v>
      </c>
      <c r="O86" s="236">
        <v>8.2000000000000003E-2</v>
      </c>
      <c r="P86" s="238">
        <v>41664</v>
      </c>
    </row>
    <row r="87" spans="1:16">
      <c r="A87" s="204"/>
      <c r="B87" s="218" t="s">
        <v>99</v>
      </c>
      <c r="C87" s="219" t="s">
        <v>102</v>
      </c>
      <c r="D87" s="232">
        <v>10.95</v>
      </c>
      <c r="E87" s="232">
        <v>84.29</v>
      </c>
      <c r="F87" s="232">
        <v>53.565973836244105</v>
      </c>
      <c r="G87" s="233">
        <v>29095.183958838912</v>
      </c>
      <c r="H87" s="234">
        <v>9.5399999999999991</v>
      </c>
      <c r="I87" s="234">
        <v>10.370000000000001</v>
      </c>
      <c r="J87" s="232">
        <v>6.6941894140119542</v>
      </c>
      <c r="K87" s="235">
        <v>44129.73</v>
      </c>
      <c r="L87" s="236">
        <v>6.2042490283507001E-2</v>
      </c>
      <c r="M87" s="237">
        <v>3412</v>
      </c>
      <c r="N87" s="236">
        <v>7.1999999999999995E-2</v>
      </c>
      <c r="O87" s="236">
        <v>8.2000000000000003E-2</v>
      </c>
      <c r="P87" s="238">
        <v>40166</v>
      </c>
    </row>
    <row r="88" spans="1:16">
      <c r="A88" s="204"/>
      <c r="B88" s="218" t="s">
        <v>99</v>
      </c>
      <c r="C88" s="219" t="s">
        <v>103</v>
      </c>
      <c r="D88" s="232">
        <v>8.5</v>
      </c>
      <c r="E88" s="232">
        <v>83.11</v>
      </c>
      <c r="F88" s="232">
        <v>61.142103972535558</v>
      </c>
      <c r="G88" s="233">
        <v>27256.87277488262</v>
      </c>
      <c r="H88" s="234">
        <v>9.94</v>
      </c>
      <c r="I88" s="234">
        <v>11.11</v>
      </c>
      <c r="J88" s="232">
        <v>6.6941894140119542</v>
      </c>
      <c r="K88" s="235">
        <v>42426.87</v>
      </c>
      <c r="L88" s="236">
        <v>6.2042490283507001E-2</v>
      </c>
      <c r="M88" s="237">
        <v>3412</v>
      </c>
      <c r="N88" s="236">
        <v>7.1999999999999995E-2</v>
      </c>
      <c r="O88" s="236">
        <v>8.2000000000000003E-2</v>
      </c>
      <c r="P88" s="238">
        <v>42594</v>
      </c>
    </row>
    <row r="89" spans="1:16">
      <c r="A89" s="204"/>
      <c r="B89" s="218" t="s">
        <v>99</v>
      </c>
      <c r="C89" s="219" t="s">
        <v>104</v>
      </c>
      <c r="D89" s="232">
        <v>11.02</v>
      </c>
      <c r="E89" s="232">
        <v>83.44</v>
      </c>
      <c r="F89" s="232">
        <v>65.972159039213906</v>
      </c>
      <c r="G89" s="233">
        <v>24110.058894588292</v>
      </c>
      <c r="H89" s="234">
        <v>11.6</v>
      </c>
      <c r="I89" s="234">
        <v>13.244999999999999</v>
      </c>
      <c r="J89" s="232">
        <v>6.6941894140119542</v>
      </c>
      <c r="K89" s="235">
        <v>39910.129999999997</v>
      </c>
      <c r="L89" s="236">
        <v>6.2042490283507001E-2</v>
      </c>
      <c r="M89" s="237">
        <v>3412</v>
      </c>
      <c r="N89" s="236">
        <v>7.1999999999999995E-2</v>
      </c>
      <c r="O89" s="236">
        <v>8.2000000000000003E-2</v>
      </c>
      <c r="P89" s="238">
        <v>28350</v>
      </c>
    </row>
    <row r="90" spans="1:16">
      <c r="A90" s="204"/>
      <c r="B90" s="218" t="s">
        <v>99</v>
      </c>
      <c r="C90" s="219" t="s">
        <v>105</v>
      </c>
      <c r="D90" s="232">
        <v>16.7</v>
      </c>
      <c r="E90" s="232">
        <v>83.75</v>
      </c>
      <c r="F90" s="232">
        <v>58.54269987465257</v>
      </c>
      <c r="G90" s="233">
        <v>25086.174819382722</v>
      </c>
      <c r="H90" s="234">
        <v>10.46</v>
      </c>
      <c r="I90" s="234">
        <v>12.515000000000001</v>
      </c>
      <c r="J90" s="232">
        <v>6.6941894140119542</v>
      </c>
      <c r="K90" s="235">
        <v>46387.27</v>
      </c>
      <c r="L90" s="236">
        <v>6.2042490283507001E-2</v>
      </c>
      <c r="M90" s="237">
        <v>3412</v>
      </c>
      <c r="N90" s="236">
        <v>7.1999999999999995E-2</v>
      </c>
      <c r="O90" s="236">
        <v>8.2000000000000003E-2</v>
      </c>
      <c r="P90" s="238">
        <v>47298</v>
      </c>
    </row>
    <row r="91" spans="1:16">
      <c r="A91" s="204"/>
      <c r="B91" s="218" t="s">
        <v>106</v>
      </c>
      <c r="C91" s="219" t="s">
        <v>107</v>
      </c>
      <c r="D91" s="232">
        <v>5.51</v>
      </c>
      <c r="E91" s="232">
        <v>83.23</v>
      </c>
      <c r="F91" s="232">
        <v>45.930563460443942</v>
      </c>
      <c r="G91" s="233">
        <v>34086.299353141534</v>
      </c>
      <c r="H91" s="234">
        <v>9.7799999999999994</v>
      </c>
      <c r="I91" s="234">
        <v>11.015000000000001</v>
      </c>
      <c r="J91" s="232">
        <v>5.0234978180597514</v>
      </c>
      <c r="K91" s="235">
        <v>98860.91</v>
      </c>
      <c r="L91" s="236">
        <v>4.1506065646934716E-2</v>
      </c>
      <c r="M91" s="237">
        <v>526</v>
      </c>
      <c r="N91" s="236">
        <v>4.2999999999999997E-2</v>
      </c>
      <c r="O91" s="236">
        <v>5.3999999999999999E-2</v>
      </c>
      <c r="P91" s="238">
        <v>9137</v>
      </c>
    </row>
    <row r="92" spans="1:16">
      <c r="A92" s="204"/>
      <c r="B92" s="218" t="s">
        <v>106</v>
      </c>
      <c r="C92" s="219" t="s">
        <v>108</v>
      </c>
      <c r="D92" s="232">
        <v>2.38</v>
      </c>
      <c r="E92" s="232">
        <v>83.59</v>
      </c>
      <c r="F92" s="232">
        <v>28.527607361963192</v>
      </c>
      <c r="G92" s="233">
        <v>45263.193291016774</v>
      </c>
      <c r="H92" s="234">
        <v>7.83</v>
      </c>
      <c r="I92" s="234">
        <v>8.0500000000000007</v>
      </c>
      <c r="J92" s="232">
        <v>5.0234978180597514</v>
      </c>
      <c r="K92" s="235">
        <v>97105.73</v>
      </c>
      <c r="L92" s="236">
        <v>4.1506065646934716E-2</v>
      </c>
      <c r="M92" s="237">
        <v>526</v>
      </c>
      <c r="N92" s="236">
        <v>4.2999999999999997E-2</v>
      </c>
      <c r="O92" s="236">
        <v>5.3999999999999999E-2</v>
      </c>
      <c r="P92" s="238">
        <v>6334</v>
      </c>
    </row>
    <row r="93" spans="1:16">
      <c r="A93" s="204"/>
      <c r="B93" s="218" t="s">
        <v>106</v>
      </c>
      <c r="C93" s="219" t="s">
        <v>109</v>
      </c>
      <c r="D93" s="232">
        <v>4.08</v>
      </c>
      <c r="E93" s="232">
        <v>84.82</v>
      </c>
      <c r="F93" s="232">
        <v>37.236739020231347</v>
      </c>
      <c r="G93" s="233">
        <v>40061.387455529875</v>
      </c>
      <c r="H93" s="234">
        <v>7.54</v>
      </c>
      <c r="I93" s="234">
        <v>8.61</v>
      </c>
      <c r="J93" s="232">
        <v>5.0234978180597514</v>
      </c>
      <c r="K93" s="235">
        <v>82594.48</v>
      </c>
      <c r="L93" s="236">
        <v>4.1506065646934716E-2</v>
      </c>
      <c r="M93" s="237">
        <v>526</v>
      </c>
      <c r="N93" s="236">
        <v>4.2999999999999997E-2</v>
      </c>
      <c r="O93" s="236">
        <v>5.3999999999999999E-2</v>
      </c>
      <c r="P93" s="238">
        <v>27260</v>
      </c>
    </row>
    <row r="94" spans="1:16">
      <c r="A94" s="204"/>
      <c r="B94" s="218" t="s">
        <v>106</v>
      </c>
      <c r="C94" s="219" t="s">
        <v>110</v>
      </c>
      <c r="D94" s="232">
        <v>6.49</v>
      </c>
      <c r="E94" s="232">
        <v>86.24</v>
      </c>
      <c r="F94" s="232">
        <v>43.284313725490193</v>
      </c>
      <c r="G94" s="233">
        <v>35922.080593747705</v>
      </c>
      <c r="H94" s="234">
        <v>8.75</v>
      </c>
      <c r="I94" s="234">
        <v>9.6449999999999996</v>
      </c>
      <c r="J94" s="232">
        <v>5.0234978180597514</v>
      </c>
      <c r="K94" s="235">
        <v>85791.77</v>
      </c>
      <c r="L94" s="236">
        <v>4.1506065646934716E-2</v>
      </c>
      <c r="M94" s="237">
        <v>526</v>
      </c>
      <c r="N94" s="236">
        <v>4.2999999999999997E-2</v>
      </c>
      <c r="O94" s="236">
        <v>5.3999999999999999E-2</v>
      </c>
      <c r="P94" s="238">
        <v>17871</v>
      </c>
    </row>
    <row r="95" spans="1:16">
      <c r="A95" s="204"/>
      <c r="B95" s="218" t="s">
        <v>106</v>
      </c>
      <c r="C95" s="219" t="s">
        <v>111</v>
      </c>
      <c r="D95" s="232">
        <v>9.85</v>
      </c>
      <c r="E95" s="232">
        <v>83.91</v>
      </c>
      <c r="F95" s="232">
        <v>51.785189538642378</v>
      </c>
      <c r="G95" s="233">
        <v>28449.326811473707</v>
      </c>
      <c r="H95" s="234">
        <v>9.43</v>
      </c>
      <c r="I95" s="234">
        <v>11.895</v>
      </c>
      <c r="J95" s="232">
        <v>5.0234978180597514</v>
      </c>
      <c r="K95" s="235">
        <v>72051.61</v>
      </c>
      <c r="L95" s="236">
        <v>4.1506065646934716E-2</v>
      </c>
      <c r="M95" s="237">
        <v>526</v>
      </c>
      <c r="N95" s="236">
        <v>4.2999999999999997E-2</v>
      </c>
      <c r="O95" s="236">
        <v>5.3999999999999999E-2</v>
      </c>
      <c r="P95" s="238">
        <v>17139</v>
      </c>
    </row>
    <row r="96" spans="1:16">
      <c r="A96" s="204"/>
      <c r="B96" s="218" t="s">
        <v>106</v>
      </c>
      <c r="C96" s="219" t="s">
        <v>112</v>
      </c>
      <c r="D96" s="232">
        <v>7.57</v>
      </c>
      <c r="E96" s="232">
        <v>84.22</v>
      </c>
      <c r="F96" s="232">
        <v>46.749654218533884</v>
      </c>
      <c r="G96" s="233">
        <v>29493.004862023456</v>
      </c>
      <c r="H96" s="234">
        <v>7.88</v>
      </c>
      <c r="I96" s="234">
        <v>9.1150000000000002</v>
      </c>
      <c r="J96" s="232">
        <v>5.0234978180597514</v>
      </c>
      <c r="K96" s="235">
        <v>74635.100000000006</v>
      </c>
      <c r="L96" s="236">
        <v>4.1506065646934716E-2</v>
      </c>
      <c r="M96" s="237">
        <v>526</v>
      </c>
      <c r="N96" s="236">
        <v>4.2999999999999997E-2</v>
      </c>
      <c r="O96" s="236">
        <v>5.3999999999999999E-2</v>
      </c>
      <c r="P96" s="238">
        <v>16868</v>
      </c>
    </row>
    <row r="97" spans="1:16">
      <c r="A97" s="204"/>
      <c r="B97" s="218" t="s">
        <v>113</v>
      </c>
      <c r="C97" s="219" t="s">
        <v>114</v>
      </c>
      <c r="D97" s="232">
        <v>12.35</v>
      </c>
      <c r="E97" s="232">
        <v>85.38</v>
      </c>
      <c r="F97" s="232">
        <v>48.26505774509296</v>
      </c>
      <c r="G97" s="233">
        <v>26743.711279244311</v>
      </c>
      <c r="H97" s="234">
        <v>8.33</v>
      </c>
      <c r="I97" s="234">
        <v>10.855</v>
      </c>
      <c r="J97" s="232">
        <v>3.9481884365881985</v>
      </c>
      <c r="K97" s="235">
        <v>69396.02</v>
      </c>
      <c r="L97" s="236">
        <v>3.5803244162734657E-2</v>
      </c>
      <c r="M97" s="237">
        <v>615</v>
      </c>
      <c r="N97" s="236">
        <v>3.5000000000000003E-2</v>
      </c>
      <c r="O97" s="236">
        <v>4.5999999999999999E-2</v>
      </c>
      <c r="P97" s="238">
        <v>48099</v>
      </c>
    </row>
    <row r="98" spans="1:16">
      <c r="A98" s="204"/>
      <c r="B98" s="218" t="s">
        <v>113</v>
      </c>
      <c r="C98" s="219" t="s">
        <v>115</v>
      </c>
      <c r="D98" s="232">
        <v>13.37</v>
      </c>
      <c r="E98" s="232">
        <v>85.74</v>
      </c>
      <c r="F98" s="232">
        <v>49.435909990411488</v>
      </c>
      <c r="G98" s="233">
        <v>30457.924157083533</v>
      </c>
      <c r="H98" s="234">
        <v>7.84</v>
      </c>
      <c r="I98" s="234">
        <v>9.7349999999999994</v>
      </c>
      <c r="J98" s="232">
        <v>3.9481884365881985</v>
      </c>
      <c r="K98" s="235">
        <v>69922.97</v>
      </c>
      <c r="L98" s="236">
        <v>3.5803244162734657E-2</v>
      </c>
      <c r="M98" s="237">
        <v>615</v>
      </c>
      <c r="N98" s="236">
        <v>3.5000000000000003E-2</v>
      </c>
      <c r="O98" s="236">
        <v>4.5999999999999999E-2</v>
      </c>
      <c r="P98" s="238">
        <v>62111</v>
      </c>
    </row>
    <row r="99" spans="1:16">
      <c r="A99" s="204"/>
      <c r="B99" s="218" t="s">
        <v>113</v>
      </c>
      <c r="C99" s="219" t="s">
        <v>116</v>
      </c>
      <c r="D99" s="232">
        <v>14.1</v>
      </c>
      <c r="E99" s="232">
        <v>84.52</v>
      </c>
      <c r="F99" s="232">
        <v>42.515000252105075</v>
      </c>
      <c r="G99" s="233">
        <v>30692.208681767053</v>
      </c>
      <c r="H99" s="234">
        <v>7.59</v>
      </c>
      <c r="I99" s="234">
        <v>10.065000000000001</v>
      </c>
      <c r="J99" s="232">
        <v>3.9481884365881985</v>
      </c>
      <c r="K99" s="235">
        <v>78315.240000000005</v>
      </c>
      <c r="L99" s="236">
        <v>3.5803244162734657E-2</v>
      </c>
      <c r="M99" s="237">
        <v>615</v>
      </c>
      <c r="N99" s="236">
        <v>3.5000000000000003E-2</v>
      </c>
      <c r="O99" s="236">
        <v>4.5999999999999999E-2</v>
      </c>
      <c r="P99" s="238">
        <v>24622</v>
      </c>
    </row>
    <row r="100" spans="1:16">
      <c r="A100" s="204"/>
      <c r="B100" s="218" t="s">
        <v>113</v>
      </c>
      <c r="C100" s="219" t="s">
        <v>325</v>
      </c>
      <c r="D100" s="232">
        <v>9.1999999999999993</v>
      </c>
      <c r="E100" s="232">
        <v>85.39</v>
      </c>
      <c r="F100" s="232">
        <v>34.671205877082961</v>
      </c>
      <c r="G100" s="233">
        <v>34608.856409260581</v>
      </c>
      <c r="H100" s="234">
        <v>7.36</v>
      </c>
      <c r="I100" s="234">
        <v>9.5100000000000016</v>
      </c>
      <c r="J100" s="232">
        <v>3.9481884365881985</v>
      </c>
      <c r="K100" s="235">
        <v>84808.59</v>
      </c>
      <c r="L100" s="236">
        <v>3.5803244162734657E-2</v>
      </c>
      <c r="M100" s="237">
        <v>615</v>
      </c>
      <c r="N100" s="236">
        <v>3.5000000000000003E-2</v>
      </c>
      <c r="O100" s="236">
        <v>4.5999999999999999E-2</v>
      </c>
      <c r="P100" s="238">
        <v>20856</v>
      </c>
    </row>
    <row r="101" spans="1:16">
      <c r="A101" s="204"/>
      <c r="B101" s="218" t="s">
        <v>113</v>
      </c>
      <c r="C101" s="219" t="s">
        <v>117</v>
      </c>
      <c r="D101" s="232">
        <v>5.0999999999999996</v>
      </c>
      <c r="E101" s="232">
        <v>83.43</v>
      </c>
      <c r="F101" s="232">
        <v>33.61297926922277</v>
      </c>
      <c r="G101" s="233">
        <v>43132.755061208933</v>
      </c>
      <c r="H101" s="234">
        <v>7.06</v>
      </c>
      <c r="I101" s="234">
        <v>9.3849999999999998</v>
      </c>
      <c r="J101" s="232">
        <v>3.9481884365881985</v>
      </c>
      <c r="K101" s="235">
        <v>94399.38</v>
      </c>
      <c r="L101" s="236">
        <v>3.5803244162734657E-2</v>
      </c>
      <c r="M101" s="237">
        <v>615</v>
      </c>
      <c r="N101" s="236">
        <v>3.5000000000000003E-2</v>
      </c>
      <c r="O101" s="236">
        <v>4.5999999999999999E-2</v>
      </c>
      <c r="P101" s="238">
        <v>18130</v>
      </c>
    </row>
    <row r="102" spans="1:16">
      <c r="A102" s="204"/>
      <c r="B102" s="218" t="s">
        <v>113</v>
      </c>
      <c r="C102" s="219" t="s">
        <v>118</v>
      </c>
      <c r="D102" s="232">
        <v>5.18</v>
      </c>
      <c r="E102" s="232">
        <v>85.88</v>
      </c>
      <c r="F102" s="232">
        <v>18.417945690672962</v>
      </c>
      <c r="G102" s="233">
        <v>57428.84205137143</v>
      </c>
      <c r="H102" s="234">
        <v>4.95</v>
      </c>
      <c r="I102" s="234">
        <v>7.0250000000000004</v>
      </c>
      <c r="J102" s="232">
        <v>3.9481884365881985</v>
      </c>
      <c r="K102" s="235">
        <v>102430.02</v>
      </c>
      <c r="L102" s="236">
        <v>3.5803244162734657E-2</v>
      </c>
      <c r="M102" s="237">
        <v>615</v>
      </c>
      <c r="N102" s="236">
        <v>3.5000000000000003E-2</v>
      </c>
      <c r="O102" s="236">
        <v>4.5999999999999999E-2</v>
      </c>
      <c r="P102" s="238">
        <v>12487</v>
      </c>
    </row>
    <row r="103" spans="1:16">
      <c r="A103" s="204"/>
      <c r="B103" s="218" t="s">
        <v>113</v>
      </c>
      <c r="C103" s="219" t="s">
        <v>119</v>
      </c>
      <c r="D103" s="232">
        <v>5.26</v>
      </c>
      <c r="E103" s="232">
        <v>85.76</v>
      </c>
      <c r="F103" s="232">
        <v>19.248826291079812</v>
      </c>
      <c r="G103" s="233">
        <v>53788.674353326314</v>
      </c>
      <c r="H103" s="234">
        <v>6.23</v>
      </c>
      <c r="I103" s="234">
        <v>8.57</v>
      </c>
      <c r="J103" s="232">
        <v>3.9481884365881985</v>
      </c>
      <c r="K103" s="235">
        <v>111362.62</v>
      </c>
      <c r="L103" s="236">
        <v>3.5803244162734657E-2</v>
      </c>
      <c r="M103" s="237">
        <v>615</v>
      </c>
      <c r="N103" s="236">
        <v>3.5000000000000003E-2</v>
      </c>
      <c r="O103" s="236">
        <v>4.5999999999999999E-2</v>
      </c>
      <c r="P103" s="238">
        <v>6387</v>
      </c>
    </row>
    <row r="104" spans="1:16">
      <c r="A104" s="204"/>
      <c r="B104" s="218" t="s">
        <v>113</v>
      </c>
      <c r="C104" s="219" t="s">
        <v>120</v>
      </c>
      <c r="D104" s="232">
        <v>5.36</v>
      </c>
      <c r="E104" s="232">
        <v>86.41</v>
      </c>
      <c r="F104" s="232">
        <v>15.891132572431959</v>
      </c>
      <c r="G104" s="233">
        <v>71758</v>
      </c>
      <c r="H104" s="234">
        <v>3.35</v>
      </c>
      <c r="I104" s="234">
        <v>3.9550000000000001</v>
      </c>
      <c r="J104" s="232">
        <v>3.9481884365881985</v>
      </c>
      <c r="K104" s="235">
        <v>165422.10999999999</v>
      </c>
      <c r="L104" s="236">
        <v>3.5803244162734657E-2</v>
      </c>
      <c r="M104" s="237">
        <v>615</v>
      </c>
      <c r="N104" s="236">
        <v>3.5000000000000003E-2</v>
      </c>
      <c r="O104" s="236">
        <v>4.5999999999999999E-2</v>
      </c>
      <c r="P104" s="238">
        <v>1568</v>
      </c>
    </row>
    <row r="105" spans="1:16">
      <c r="A105" s="204"/>
      <c r="B105" s="216" t="s">
        <v>113</v>
      </c>
      <c r="C105" s="217" t="s">
        <v>121</v>
      </c>
      <c r="D105" s="232">
        <v>2.78</v>
      </c>
      <c r="E105" s="232">
        <v>86.37</v>
      </c>
      <c r="F105" s="232">
        <v>15.616862988220706</v>
      </c>
      <c r="G105" s="233">
        <v>66647.54388251128</v>
      </c>
      <c r="H105" s="234">
        <v>5.17</v>
      </c>
      <c r="I105" s="234">
        <v>7.2750000000000004</v>
      </c>
      <c r="J105" s="232">
        <v>3.9481884365881985</v>
      </c>
      <c r="K105" s="235">
        <v>112108.16</v>
      </c>
      <c r="L105" s="236">
        <v>3.5803244162734657E-2</v>
      </c>
      <c r="M105" s="237">
        <v>615</v>
      </c>
      <c r="N105" s="236">
        <v>3.5000000000000003E-2</v>
      </c>
      <c r="O105" s="236">
        <v>4.5999999999999999E-2</v>
      </c>
      <c r="P105" s="238">
        <v>22010</v>
      </c>
    </row>
    <row r="106" spans="1:16">
      <c r="A106" s="204"/>
      <c r="B106" s="216" t="s">
        <v>122</v>
      </c>
      <c r="C106" s="217" t="s">
        <v>123</v>
      </c>
      <c r="D106" s="232">
        <v>3.49</v>
      </c>
      <c r="E106" s="232">
        <v>83.78</v>
      </c>
      <c r="F106" s="232">
        <v>12.505446623093682</v>
      </c>
      <c r="G106" s="233">
        <v>82127.242000787897</v>
      </c>
      <c r="H106" s="234">
        <v>4.5599999999999996</v>
      </c>
      <c r="I106" s="234">
        <v>6.3949999999999996</v>
      </c>
      <c r="J106" s="232">
        <v>3.3673435856992637</v>
      </c>
      <c r="K106" s="235">
        <v>144910.85</v>
      </c>
      <c r="L106" s="236">
        <v>3.2195456102294781E-2</v>
      </c>
      <c r="M106" s="237">
        <v>415</v>
      </c>
      <c r="N106" s="236">
        <v>3.5000000000000003E-2</v>
      </c>
      <c r="O106" s="236">
        <v>0.04</v>
      </c>
      <c r="P106" s="238">
        <v>6790</v>
      </c>
    </row>
    <row r="107" spans="1:16">
      <c r="A107" s="204"/>
      <c r="B107" s="216" t="s">
        <v>122</v>
      </c>
      <c r="C107" s="217" t="s">
        <v>124</v>
      </c>
      <c r="D107" s="232">
        <v>4.45</v>
      </c>
      <c r="E107" s="232">
        <v>86.22</v>
      </c>
      <c r="F107" s="232">
        <v>13.773731111972104</v>
      </c>
      <c r="G107" s="233">
        <v>81087.934461822457</v>
      </c>
      <c r="H107" s="234">
        <v>3.57</v>
      </c>
      <c r="I107" s="234">
        <v>4.6549999999999994</v>
      </c>
      <c r="J107" s="232">
        <v>3.3673435856992637</v>
      </c>
      <c r="K107" s="235">
        <v>214964.83</v>
      </c>
      <c r="L107" s="236">
        <v>3.2195456102294781E-2</v>
      </c>
      <c r="M107" s="237">
        <v>415</v>
      </c>
      <c r="N107" s="236">
        <v>3.5000000000000003E-2</v>
      </c>
      <c r="O107" s="236">
        <v>0.04</v>
      </c>
      <c r="P107" s="238">
        <v>14911</v>
      </c>
    </row>
    <row r="108" spans="1:16">
      <c r="A108" s="204"/>
      <c r="B108" s="216" t="s">
        <v>122</v>
      </c>
      <c r="C108" s="217" t="s">
        <v>125</v>
      </c>
      <c r="D108" s="232">
        <v>5.22</v>
      </c>
      <c r="E108" s="232">
        <v>85.72</v>
      </c>
      <c r="F108" s="232">
        <v>39.104789407391479</v>
      </c>
      <c r="G108" s="233">
        <v>37404.47490222373</v>
      </c>
      <c r="H108" s="234">
        <v>6.98</v>
      </c>
      <c r="I108" s="234">
        <v>8.66</v>
      </c>
      <c r="J108" s="232">
        <v>3.3673435856992637</v>
      </c>
      <c r="K108" s="235">
        <v>93174.45</v>
      </c>
      <c r="L108" s="236">
        <v>3.2195456102294781E-2</v>
      </c>
      <c r="M108" s="237">
        <v>415</v>
      </c>
      <c r="N108" s="236">
        <v>3.5000000000000003E-2</v>
      </c>
      <c r="O108" s="236">
        <v>0.04</v>
      </c>
      <c r="P108" s="238">
        <v>40578</v>
      </c>
    </row>
    <row r="109" spans="1:16">
      <c r="A109" s="204"/>
      <c r="B109" s="216" t="s">
        <v>122</v>
      </c>
      <c r="C109" s="217" t="s">
        <v>126</v>
      </c>
      <c r="D109" s="232">
        <v>7.29</v>
      </c>
      <c r="E109" s="232">
        <v>85.33</v>
      </c>
      <c r="F109" s="232">
        <v>46.049221257876589</v>
      </c>
      <c r="G109" s="233">
        <v>33796.320032797885</v>
      </c>
      <c r="H109" s="234">
        <v>8.42</v>
      </c>
      <c r="I109" s="234">
        <v>10.51</v>
      </c>
      <c r="J109" s="232">
        <v>3.3673435856992637</v>
      </c>
      <c r="K109" s="235">
        <v>80414.91</v>
      </c>
      <c r="L109" s="236">
        <v>3.2195456102294781E-2</v>
      </c>
      <c r="M109" s="237">
        <v>415</v>
      </c>
      <c r="N109" s="236">
        <v>3.5000000000000003E-2</v>
      </c>
      <c r="O109" s="236">
        <v>0.04</v>
      </c>
      <c r="P109" s="238">
        <v>52691</v>
      </c>
    </row>
    <row r="110" spans="1:16">
      <c r="A110" s="204"/>
      <c r="B110" s="216" t="s">
        <v>122</v>
      </c>
      <c r="C110" s="217" t="s">
        <v>127</v>
      </c>
      <c r="D110" s="232">
        <v>6.11</v>
      </c>
      <c r="E110" s="232">
        <v>83.33</v>
      </c>
      <c r="F110" s="232">
        <v>38.28662527269676</v>
      </c>
      <c r="G110" s="233">
        <v>37312.650932657307</v>
      </c>
      <c r="H110" s="234">
        <v>7.66</v>
      </c>
      <c r="I110" s="234">
        <v>9.27</v>
      </c>
      <c r="J110" s="232">
        <v>3.3673435856992637</v>
      </c>
      <c r="K110" s="235">
        <v>104698.61</v>
      </c>
      <c r="L110" s="236">
        <v>3.2195456102294781E-2</v>
      </c>
      <c r="M110" s="237">
        <v>415</v>
      </c>
      <c r="N110" s="236">
        <v>3.5000000000000003E-2</v>
      </c>
      <c r="O110" s="236">
        <v>0.04</v>
      </c>
      <c r="P110" s="238">
        <v>15418</v>
      </c>
    </row>
    <row r="111" spans="1:16">
      <c r="A111" s="204"/>
      <c r="B111" s="216" t="s">
        <v>122</v>
      </c>
      <c r="C111" s="217" t="s">
        <v>128</v>
      </c>
      <c r="D111" s="232">
        <v>5.3</v>
      </c>
      <c r="E111" s="232">
        <v>83.23</v>
      </c>
      <c r="F111" s="232">
        <v>14.30162560661911</v>
      </c>
      <c r="G111" s="233">
        <v>53809.729269838557</v>
      </c>
      <c r="H111" s="234">
        <v>4.8099999999999996</v>
      </c>
      <c r="I111" s="234">
        <v>6.6349999999999998</v>
      </c>
      <c r="J111" s="232">
        <v>3.3673435856992637</v>
      </c>
      <c r="K111" s="235">
        <v>114515.59</v>
      </c>
      <c r="L111" s="236">
        <v>3.2195456102294781E-2</v>
      </c>
      <c r="M111" s="237">
        <v>415</v>
      </c>
      <c r="N111" s="236">
        <v>3.5000000000000003E-2</v>
      </c>
      <c r="O111" s="236">
        <v>0.04</v>
      </c>
      <c r="P111" s="238">
        <v>57879</v>
      </c>
    </row>
    <row r="112" spans="1:16">
      <c r="A112" s="204"/>
      <c r="B112" s="216" t="s">
        <v>129</v>
      </c>
      <c r="C112" s="217" t="s">
        <v>326</v>
      </c>
      <c r="D112" s="232">
        <v>15.21</v>
      </c>
      <c r="E112" s="232">
        <v>83.44</v>
      </c>
      <c r="F112" s="232">
        <v>62.849986581984076</v>
      </c>
      <c r="G112" s="233">
        <v>22696.961787609471</v>
      </c>
      <c r="H112" s="234">
        <v>11.45</v>
      </c>
      <c r="I112" s="234">
        <v>12.65</v>
      </c>
      <c r="J112" s="232">
        <v>6.8197536308873499</v>
      </c>
      <c r="K112" s="235">
        <v>51867.47</v>
      </c>
      <c r="L112" s="236">
        <v>5.0019297568506371E-2</v>
      </c>
      <c r="M112" s="237">
        <v>1625</v>
      </c>
      <c r="N112" s="236">
        <v>6.4000000000000001E-2</v>
      </c>
      <c r="O112" s="236">
        <v>7.1999999999999995E-2</v>
      </c>
      <c r="P112" s="238">
        <v>45204</v>
      </c>
    </row>
    <row r="113" spans="1:16">
      <c r="A113" s="204"/>
      <c r="B113" s="216" t="s">
        <v>129</v>
      </c>
      <c r="C113" s="217" t="s">
        <v>130</v>
      </c>
      <c r="D113" s="232">
        <v>29.07</v>
      </c>
      <c r="E113" s="232">
        <v>82.19</v>
      </c>
      <c r="F113" s="232">
        <v>73.835800807537012</v>
      </c>
      <c r="G113" s="233">
        <v>19859.259299024117</v>
      </c>
      <c r="H113" s="234">
        <v>13.33</v>
      </c>
      <c r="I113" s="234">
        <v>16.835000000000001</v>
      </c>
      <c r="J113" s="232">
        <v>6.8197536308873499</v>
      </c>
      <c r="K113" s="235">
        <v>26918.19</v>
      </c>
      <c r="L113" s="236">
        <v>5.0019297568506371E-2</v>
      </c>
      <c r="M113" s="237">
        <v>1625</v>
      </c>
      <c r="N113" s="236">
        <v>6.4000000000000001E-2</v>
      </c>
      <c r="O113" s="236">
        <v>7.1999999999999995E-2</v>
      </c>
      <c r="P113" s="238">
        <v>16052</v>
      </c>
    </row>
    <row r="114" spans="1:16">
      <c r="A114" s="204"/>
      <c r="B114" s="216" t="s">
        <v>129</v>
      </c>
      <c r="C114" s="217" t="s">
        <v>131</v>
      </c>
      <c r="D114" s="232">
        <v>9.68</v>
      </c>
      <c r="E114" s="232">
        <v>82.43</v>
      </c>
      <c r="F114" s="232">
        <v>46.064942212438083</v>
      </c>
      <c r="G114" s="233">
        <v>30468.900348241252</v>
      </c>
      <c r="H114" s="234">
        <v>8.1300000000000008</v>
      </c>
      <c r="I114" s="234">
        <v>8.870000000000001</v>
      </c>
      <c r="J114" s="232">
        <v>6.8197536308873499</v>
      </c>
      <c r="K114" s="235">
        <v>62585.86</v>
      </c>
      <c r="L114" s="236">
        <v>5.0019297568506371E-2</v>
      </c>
      <c r="M114" s="237">
        <v>1625</v>
      </c>
      <c r="N114" s="236">
        <v>6.4000000000000001E-2</v>
      </c>
      <c r="O114" s="236">
        <v>7.1999999999999995E-2</v>
      </c>
      <c r="P114" s="238">
        <v>18870</v>
      </c>
    </row>
    <row r="115" spans="1:16">
      <c r="A115" s="204"/>
      <c r="B115" s="216" t="s">
        <v>129</v>
      </c>
      <c r="C115" s="217" t="s">
        <v>132</v>
      </c>
      <c r="D115" s="232">
        <v>15.06</v>
      </c>
      <c r="E115" s="232">
        <v>84.38</v>
      </c>
      <c r="F115" s="232">
        <v>56.926461571753165</v>
      </c>
      <c r="G115" s="233">
        <v>28679.350949633899</v>
      </c>
      <c r="H115" s="234">
        <v>9.19</v>
      </c>
      <c r="I115" s="234">
        <v>10.395</v>
      </c>
      <c r="J115" s="232">
        <v>6.8197536308873499</v>
      </c>
      <c r="K115" s="235">
        <v>52127.25</v>
      </c>
      <c r="L115" s="236">
        <v>5.0019297568506371E-2</v>
      </c>
      <c r="M115" s="237">
        <v>1625</v>
      </c>
      <c r="N115" s="236">
        <v>6.4000000000000001E-2</v>
      </c>
      <c r="O115" s="236">
        <v>7.1999999999999995E-2</v>
      </c>
      <c r="P115" s="238">
        <v>37587</v>
      </c>
    </row>
    <row r="116" spans="1:16">
      <c r="A116" s="204"/>
      <c r="B116" s="216" t="s">
        <v>129</v>
      </c>
      <c r="C116" s="217" t="s">
        <v>133</v>
      </c>
      <c r="D116" s="232">
        <v>12.57</v>
      </c>
      <c r="E116" s="232">
        <v>84.88</v>
      </c>
      <c r="F116" s="232">
        <v>57.654525609411003</v>
      </c>
      <c r="G116" s="233">
        <v>28412.972147409684</v>
      </c>
      <c r="H116" s="234">
        <v>10.24</v>
      </c>
      <c r="I116" s="234">
        <v>12.515000000000001</v>
      </c>
      <c r="J116" s="232">
        <v>6.8197536308873499</v>
      </c>
      <c r="K116" s="235">
        <v>59718.09</v>
      </c>
      <c r="L116" s="236">
        <v>5.0019297568506371E-2</v>
      </c>
      <c r="M116" s="237">
        <v>1625</v>
      </c>
      <c r="N116" s="236">
        <v>6.4000000000000001E-2</v>
      </c>
      <c r="O116" s="236">
        <v>7.1999999999999995E-2</v>
      </c>
      <c r="P116" s="238">
        <v>31170</v>
      </c>
    </row>
    <row r="117" spans="1:16">
      <c r="A117" s="204"/>
      <c r="B117" s="216" t="s">
        <v>134</v>
      </c>
      <c r="C117" s="217" t="s">
        <v>135</v>
      </c>
      <c r="D117" s="232">
        <v>11.52</v>
      </c>
      <c r="E117" s="232">
        <v>85.07</v>
      </c>
      <c r="F117" s="232">
        <v>63.642253136933988</v>
      </c>
      <c r="G117" s="233">
        <v>24526.326754270107</v>
      </c>
      <c r="H117" s="234">
        <v>12.36</v>
      </c>
      <c r="I117" s="234">
        <v>13.25</v>
      </c>
      <c r="J117" s="232">
        <v>5.9143306261461879</v>
      </c>
      <c r="K117" s="235">
        <v>55401.06</v>
      </c>
      <c r="L117" s="236">
        <v>4.665167234999637E-2</v>
      </c>
      <c r="M117" s="237">
        <v>1388</v>
      </c>
      <c r="N117" s="236">
        <v>3.6999999999999998E-2</v>
      </c>
      <c r="O117" s="236">
        <v>5.2999999999999999E-2</v>
      </c>
      <c r="P117" s="238">
        <v>40280</v>
      </c>
    </row>
    <row r="118" spans="1:16">
      <c r="A118" s="204"/>
      <c r="B118" s="216" t="s">
        <v>134</v>
      </c>
      <c r="C118" s="217" t="s">
        <v>136</v>
      </c>
      <c r="D118" s="232">
        <v>3.71</v>
      </c>
      <c r="E118" s="232">
        <v>84.46</v>
      </c>
      <c r="F118" s="232">
        <v>44.427058884890208</v>
      </c>
      <c r="G118" s="233">
        <v>36865.024145685726</v>
      </c>
      <c r="H118" s="234">
        <v>8.99</v>
      </c>
      <c r="I118" s="234">
        <v>10.44</v>
      </c>
      <c r="J118" s="232">
        <v>5.9143306261461879</v>
      </c>
      <c r="K118" s="235">
        <v>57905.06</v>
      </c>
      <c r="L118" s="236">
        <v>4.665167234999637E-2</v>
      </c>
      <c r="M118" s="237">
        <v>1388</v>
      </c>
      <c r="N118" s="236">
        <v>3.6999999999999998E-2</v>
      </c>
      <c r="O118" s="236">
        <v>5.2999999999999999E-2</v>
      </c>
      <c r="P118" s="238">
        <v>24328</v>
      </c>
    </row>
    <row r="119" spans="1:16">
      <c r="A119" s="204"/>
      <c r="B119" s="216" t="s">
        <v>134</v>
      </c>
      <c r="C119" s="217" t="s">
        <v>327</v>
      </c>
      <c r="D119" s="232">
        <v>6.37</v>
      </c>
      <c r="E119" s="232">
        <v>84.76</v>
      </c>
      <c r="F119" s="232">
        <v>27.872460851518774</v>
      </c>
      <c r="G119" s="233">
        <v>33052.509383268851</v>
      </c>
      <c r="H119" s="234">
        <v>6.98</v>
      </c>
      <c r="I119" s="234">
        <v>9.0350000000000001</v>
      </c>
      <c r="J119" s="232">
        <v>5.9143306261461879</v>
      </c>
      <c r="K119" s="235">
        <v>70851.539999999994</v>
      </c>
      <c r="L119" s="236">
        <v>4.665167234999637E-2</v>
      </c>
      <c r="M119" s="237">
        <v>1388</v>
      </c>
      <c r="N119" s="236">
        <v>3.6999999999999998E-2</v>
      </c>
      <c r="O119" s="236">
        <v>5.2999999999999999E-2</v>
      </c>
      <c r="P119" s="238">
        <v>45828</v>
      </c>
    </row>
    <row r="120" spans="1:16">
      <c r="A120" s="204"/>
      <c r="B120" s="216" t="s">
        <v>137</v>
      </c>
      <c r="C120" s="217" t="s">
        <v>138</v>
      </c>
      <c r="D120" s="232">
        <v>10.88</v>
      </c>
      <c r="E120" s="232">
        <v>85.72</v>
      </c>
      <c r="F120" s="232">
        <v>64.625311297260581</v>
      </c>
      <c r="G120" s="233">
        <v>24577.580752362242</v>
      </c>
      <c r="H120" s="234">
        <v>10.83</v>
      </c>
      <c r="I120" s="234">
        <v>12.19</v>
      </c>
      <c r="J120" s="232">
        <v>5.7942098619650642</v>
      </c>
      <c r="K120" s="235">
        <v>54056.86</v>
      </c>
      <c r="L120" s="236">
        <v>6.2643898695318501E-2</v>
      </c>
      <c r="M120" s="237">
        <v>715</v>
      </c>
      <c r="N120" s="236">
        <v>6.2E-2</v>
      </c>
      <c r="O120" s="236">
        <v>7.0000000000000007E-2</v>
      </c>
      <c r="P120" s="238">
        <v>34816</v>
      </c>
    </row>
    <row r="121" spans="1:16">
      <c r="A121" s="204"/>
      <c r="B121" s="216" t="s">
        <v>137</v>
      </c>
      <c r="C121" s="217" t="s">
        <v>328</v>
      </c>
      <c r="D121" s="232">
        <v>3.99</v>
      </c>
      <c r="E121" s="232">
        <v>83.88</v>
      </c>
      <c r="F121" s="232">
        <v>34.775563117809106</v>
      </c>
      <c r="G121" s="233">
        <v>39388.657380949902</v>
      </c>
      <c r="H121" s="234">
        <v>9.4600000000000009</v>
      </c>
      <c r="I121" s="234">
        <v>9.61</v>
      </c>
      <c r="J121" s="232">
        <v>5.7942098619650642</v>
      </c>
      <c r="K121" s="235">
        <v>61768.78</v>
      </c>
      <c r="L121" s="236">
        <v>6.2643898695318501E-2</v>
      </c>
      <c r="M121" s="237">
        <v>715</v>
      </c>
      <c r="N121" s="236">
        <v>6.2E-2</v>
      </c>
      <c r="O121" s="236">
        <v>7.0000000000000007E-2</v>
      </c>
      <c r="P121" s="238">
        <v>17638</v>
      </c>
    </row>
    <row r="122" spans="1:16">
      <c r="A122" s="204"/>
      <c r="B122" s="216" t="s">
        <v>137</v>
      </c>
      <c r="C122" s="217" t="s">
        <v>329</v>
      </c>
      <c r="D122" s="232">
        <v>1.8</v>
      </c>
      <c r="E122" s="232">
        <v>84.8</v>
      </c>
      <c r="F122" s="232">
        <v>23.127373144632379</v>
      </c>
      <c r="G122" s="233">
        <v>40053.400582349939</v>
      </c>
      <c r="H122" s="234">
        <v>5.64</v>
      </c>
      <c r="I122" s="234">
        <v>6.0049999999999999</v>
      </c>
      <c r="J122" s="232">
        <v>5.7942098619650642</v>
      </c>
      <c r="K122" s="235">
        <v>77033.42</v>
      </c>
      <c r="L122" s="236">
        <v>6.2643898695318501E-2</v>
      </c>
      <c r="M122" s="237">
        <v>715</v>
      </c>
      <c r="N122" s="236">
        <v>6.2E-2</v>
      </c>
      <c r="O122" s="236">
        <v>7.0000000000000007E-2</v>
      </c>
      <c r="P122" s="238">
        <v>18142</v>
      </c>
    </row>
    <row r="123" spans="1:16">
      <c r="A123" s="204"/>
      <c r="B123" s="216" t="s">
        <v>137</v>
      </c>
      <c r="C123" s="217" t="s">
        <v>330</v>
      </c>
      <c r="D123" s="232">
        <v>4.38</v>
      </c>
      <c r="E123" s="232">
        <v>84.8</v>
      </c>
      <c r="F123" s="232">
        <v>31.926605504587155</v>
      </c>
      <c r="G123" s="233">
        <v>19674</v>
      </c>
      <c r="H123" s="234">
        <v>5.32</v>
      </c>
      <c r="I123" s="234">
        <v>7.6300000000000008</v>
      </c>
      <c r="J123" s="232">
        <v>5.7942098619650642</v>
      </c>
      <c r="K123" s="235">
        <v>92644.68</v>
      </c>
      <c r="L123" s="236">
        <v>6.2643898695318501E-2</v>
      </c>
      <c r="M123" s="237">
        <v>715</v>
      </c>
      <c r="N123" s="236">
        <v>6.2E-2</v>
      </c>
      <c r="O123" s="236">
        <v>7.0000000000000007E-2</v>
      </c>
      <c r="P123" s="238">
        <v>1530</v>
      </c>
    </row>
    <row r="124" spans="1:16">
      <c r="A124" s="204"/>
      <c r="B124" s="216" t="s">
        <v>139</v>
      </c>
      <c r="C124" s="217" t="s">
        <v>140</v>
      </c>
      <c r="D124" s="232">
        <v>11.67</v>
      </c>
      <c r="E124" s="232">
        <v>83.04</v>
      </c>
      <c r="F124" s="232">
        <v>47.572953064500901</v>
      </c>
      <c r="G124" s="233">
        <v>22504.157388643031</v>
      </c>
      <c r="H124" s="234">
        <v>8.44</v>
      </c>
      <c r="I124" s="234">
        <v>10.574999999999999</v>
      </c>
      <c r="J124" s="232">
        <v>4.4781942315730809</v>
      </c>
      <c r="K124" s="235">
        <v>67328.100000000006</v>
      </c>
      <c r="L124" s="236">
        <v>4.7936085219707054E-2</v>
      </c>
      <c r="M124" s="237">
        <v>826</v>
      </c>
      <c r="N124" s="236">
        <v>6.3E-2</v>
      </c>
      <c r="O124" s="236">
        <v>6.9000000000000006E-2</v>
      </c>
      <c r="P124" s="238">
        <v>27918</v>
      </c>
    </row>
    <row r="125" spans="1:16">
      <c r="A125" s="204"/>
      <c r="B125" s="216" t="s">
        <v>139</v>
      </c>
      <c r="C125" s="217" t="s">
        <v>141</v>
      </c>
      <c r="D125" s="232">
        <v>9.3699999999999992</v>
      </c>
      <c r="E125" s="232">
        <v>83.14</v>
      </c>
      <c r="F125" s="232">
        <v>63.775721585416377</v>
      </c>
      <c r="G125" s="233">
        <v>24038.535971865767</v>
      </c>
      <c r="H125" s="234">
        <v>11.65</v>
      </c>
      <c r="I125" s="234">
        <v>14.07</v>
      </c>
      <c r="J125" s="232">
        <v>4.4781942315730809</v>
      </c>
      <c r="K125" s="235">
        <v>62989.93</v>
      </c>
      <c r="L125" s="236">
        <v>4.7936085219707054E-2</v>
      </c>
      <c r="M125" s="237">
        <v>826</v>
      </c>
      <c r="N125" s="236">
        <v>6.3E-2</v>
      </c>
      <c r="O125" s="236">
        <v>6.9000000000000006E-2</v>
      </c>
      <c r="P125" s="238">
        <v>9157</v>
      </c>
    </row>
    <row r="126" spans="1:16">
      <c r="A126" s="204"/>
      <c r="B126" s="216" t="s">
        <v>139</v>
      </c>
      <c r="C126" s="217" t="s">
        <v>142</v>
      </c>
      <c r="D126" s="232">
        <v>12.49</v>
      </c>
      <c r="E126" s="232">
        <v>82.14</v>
      </c>
      <c r="F126" s="232">
        <v>67.681137030743088</v>
      </c>
      <c r="G126" s="233">
        <v>21961.534343840489</v>
      </c>
      <c r="H126" s="234">
        <v>13.08</v>
      </c>
      <c r="I126" s="234">
        <v>14.82</v>
      </c>
      <c r="J126" s="232">
        <v>4.4781942315730809</v>
      </c>
      <c r="K126" s="235">
        <v>46895.42</v>
      </c>
      <c r="L126" s="236">
        <v>4.7936085219707054E-2</v>
      </c>
      <c r="M126" s="237">
        <v>826</v>
      </c>
      <c r="N126" s="236">
        <v>6.3E-2</v>
      </c>
      <c r="O126" s="236">
        <v>6.9000000000000006E-2</v>
      </c>
      <c r="P126" s="238">
        <v>8575</v>
      </c>
    </row>
    <row r="127" spans="1:16">
      <c r="A127" s="204"/>
      <c r="B127" s="216" t="s">
        <v>139</v>
      </c>
      <c r="C127" s="217" t="s">
        <v>143</v>
      </c>
      <c r="D127" s="232">
        <v>6.82</v>
      </c>
      <c r="E127" s="232">
        <v>83.27</v>
      </c>
      <c r="F127" s="232">
        <v>55.809703145768722</v>
      </c>
      <c r="G127" s="233">
        <v>28800.948012344434</v>
      </c>
      <c r="H127" s="234">
        <v>9.49</v>
      </c>
      <c r="I127" s="234">
        <v>11.08</v>
      </c>
      <c r="J127" s="232">
        <v>4.4781942315730809</v>
      </c>
      <c r="K127" s="235">
        <v>73432.17</v>
      </c>
      <c r="L127" s="236">
        <v>4.7936085219707054E-2</v>
      </c>
      <c r="M127" s="237">
        <v>826</v>
      </c>
      <c r="N127" s="236">
        <v>6.3E-2</v>
      </c>
      <c r="O127" s="236">
        <v>6.9000000000000006E-2</v>
      </c>
      <c r="P127" s="238">
        <v>24211</v>
      </c>
    </row>
    <row r="128" spans="1:16">
      <c r="A128" s="204"/>
      <c r="B128" s="216" t="s">
        <v>139</v>
      </c>
      <c r="C128" s="217" t="s">
        <v>144</v>
      </c>
      <c r="D128" s="232">
        <v>2.98</v>
      </c>
      <c r="E128" s="232">
        <v>85.68</v>
      </c>
      <c r="F128" s="232">
        <v>31.080412185573504</v>
      </c>
      <c r="G128" s="233">
        <v>44105.511819772386</v>
      </c>
      <c r="H128" s="234">
        <v>5.82</v>
      </c>
      <c r="I128" s="234">
        <v>6.8</v>
      </c>
      <c r="J128" s="232">
        <v>4.4781942315730809</v>
      </c>
      <c r="K128" s="235">
        <v>80856.09</v>
      </c>
      <c r="L128" s="236">
        <v>4.7936085219707054E-2</v>
      </c>
      <c r="M128" s="237">
        <v>826</v>
      </c>
      <c r="N128" s="236">
        <v>6.3E-2</v>
      </c>
      <c r="O128" s="236">
        <v>6.9000000000000006E-2</v>
      </c>
      <c r="P128" s="238">
        <v>31677</v>
      </c>
    </row>
    <row r="129" spans="1:16">
      <c r="A129" s="204"/>
      <c r="B129" s="216" t="s">
        <v>139</v>
      </c>
      <c r="C129" s="217" t="s">
        <v>145</v>
      </c>
      <c r="D129" s="232">
        <v>10.63</v>
      </c>
      <c r="E129" s="232">
        <v>87.94</v>
      </c>
      <c r="F129" s="232">
        <v>27.963176064441889</v>
      </c>
      <c r="G129" s="233">
        <v>38875.465797749443</v>
      </c>
      <c r="H129" s="234">
        <v>5.73</v>
      </c>
      <c r="I129" s="234">
        <v>7.8650000000000002</v>
      </c>
      <c r="J129" s="232">
        <v>4.4781942315730809</v>
      </c>
      <c r="K129" s="235">
        <v>59955.78</v>
      </c>
      <c r="L129" s="236">
        <v>4.7936085219707054E-2</v>
      </c>
      <c r="M129" s="237">
        <v>826</v>
      </c>
      <c r="N129" s="236">
        <v>6.3E-2</v>
      </c>
      <c r="O129" s="236">
        <v>6.9000000000000006E-2</v>
      </c>
      <c r="P129" s="238">
        <v>16693</v>
      </c>
    </row>
    <row r="130" spans="1:16">
      <c r="A130" s="204"/>
      <c r="B130" s="216" t="s">
        <v>139</v>
      </c>
      <c r="C130" s="217" t="s">
        <v>146</v>
      </c>
      <c r="D130" s="232">
        <v>9.48</v>
      </c>
      <c r="E130" s="232">
        <v>84.5</v>
      </c>
      <c r="F130" s="232">
        <v>53.166577967003725</v>
      </c>
      <c r="G130" s="233">
        <v>31834.133591988113</v>
      </c>
      <c r="H130" s="234">
        <v>8.24</v>
      </c>
      <c r="I130" s="234">
        <v>10.395</v>
      </c>
      <c r="J130" s="232">
        <v>4.4781942315730809</v>
      </c>
      <c r="K130" s="235">
        <v>62681.94</v>
      </c>
      <c r="L130" s="236">
        <v>4.7936085219707054E-2</v>
      </c>
      <c r="M130" s="237">
        <v>826</v>
      </c>
      <c r="N130" s="236">
        <v>6.3E-2</v>
      </c>
      <c r="O130" s="236">
        <v>6.9000000000000006E-2</v>
      </c>
      <c r="P130" s="238">
        <v>28584</v>
      </c>
    </row>
    <row r="131" spans="1:16">
      <c r="A131" s="204"/>
      <c r="B131" s="216" t="s">
        <v>139</v>
      </c>
      <c r="C131" s="217" t="s">
        <v>331</v>
      </c>
      <c r="D131" s="232">
        <v>4.2300000000000004</v>
      </c>
      <c r="E131" s="232">
        <v>85.78</v>
      </c>
      <c r="F131" s="232">
        <v>25.364900586139523</v>
      </c>
      <c r="G131" s="233">
        <v>54991.197828187956</v>
      </c>
      <c r="H131" s="234">
        <v>5.88</v>
      </c>
      <c r="I131" s="234">
        <v>7.6449999999999996</v>
      </c>
      <c r="J131" s="232">
        <v>4.4781942315730809</v>
      </c>
      <c r="K131" s="235">
        <v>123056.23</v>
      </c>
      <c r="L131" s="236">
        <v>4.7936085219707054E-2</v>
      </c>
      <c r="M131" s="237">
        <v>826</v>
      </c>
      <c r="N131" s="236">
        <v>6.3E-2</v>
      </c>
      <c r="O131" s="236">
        <v>6.9000000000000006E-2</v>
      </c>
      <c r="P131" s="238">
        <v>11351</v>
      </c>
    </row>
    <row r="132" spans="1:16">
      <c r="A132" s="204"/>
      <c r="B132" s="216" t="s">
        <v>147</v>
      </c>
      <c r="C132" s="217" t="s">
        <v>148</v>
      </c>
      <c r="D132" s="232">
        <v>2.59</v>
      </c>
      <c r="E132" s="232">
        <v>84.7</v>
      </c>
      <c r="F132" s="232">
        <v>20.602776837114799</v>
      </c>
      <c r="G132" s="233">
        <v>52966.258089558265</v>
      </c>
      <c r="H132" s="234">
        <v>5.33</v>
      </c>
      <c r="I132" s="234">
        <v>6.9550000000000001</v>
      </c>
      <c r="J132" s="232">
        <v>2.8390176496451227</v>
      </c>
      <c r="K132" s="235">
        <v>88681.16</v>
      </c>
      <c r="L132" s="236">
        <v>2.4022988505747127E-2</v>
      </c>
      <c r="M132" s="237">
        <v>80</v>
      </c>
      <c r="N132" s="236">
        <v>2.5999999999999999E-2</v>
      </c>
      <c r="O132" s="236">
        <v>3.1E-2</v>
      </c>
      <c r="P132" s="238">
        <v>19526</v>
      </c>
    </row>
    <row r="133" spans="1:16">
      <c r="A133" s="204"/>
      <c r="B133" s="216" t="s">
        <v>147</v>
      </c>
      <c r="C133" s="217" t="s">
        <v>149</v>
      </c>
      <c r="D133" s="232">
        <v>15.13</v>
      </c>
      <c r="E133" s="232">
        <v>82.12</v>
      </c>
      <c r="F133" s="232">
        <v>58.255897069335241</v>
      </c>
      <c r="G133" s="233">
        <v>25366</v>
      </c>
      <c r="H133" s="234">
        <v>7.84</v>
      </c>
      <c r="I133" s="234">
        <v>9.0749999999999993</v>
      </c>
      <c r="J133" s="232">
        <v>2.8390176496451227</v>
      </c>
      <c r="K133" s="235">
        <v>73503.58</v>
      </c>
      <c r="L133" s="236">
        <v>2.4022988505747127E-2</v>
      </c>
      <c r="M133" s="237">
        <v>80</v>
      </c>
      <c r="N133" s="236">
        <v>2.5999999999999999E-2</v>
      </c>
      <c r="O133" s="236">
        <v>3.1E-2</v>
      </c>
      <c r="P133" s="238">
        <v>1851</v>
      </c>
    </row>
    <row r="134" spans="1:16">
      <c r="B134" s="216" t="s">
        <v>147</v>
      </c>
      <c r="C134" s="217" t="s">
        <v>150</v>
      </c>
      <c r="D134" s="232">
        <v>11.45</v>
      </c>
      <c r="E134" s="232">
        <v>84.85</v>
      </c>
      <c r="F134" s="232">
        <v>48.356884653302664</v>
      </c>
      <c r="G134" s="233">
        <v>30892.202490249329</v>
      </c>
      <c r="H134" s="234">
        <v>7.4</v>
      </c>
      <c r="I134" s="234">
        <v>9.254999999999999</v>
      </c>
      <c r="J134" s="232">
        <v>2.8390176496451227</v>
      </c>
      <c r="K134" s="235">
        <v>82836.509999999995</v>
      </c>
      <c r="L134" s="236">
        <v>2.4022988505747127E-2</v>
      </c>
      <c r="M134" s="237">
        <v>80</v>
      </c>
      <c r="N134" s="236">
        <v>2.5999999999999999E-2</v>
      </c>
      <c r="O134" s="236">
        <v>3.1E-2</v>
      </c>
      <c r="P134" s="238">
        <v>7565</v>
      </c>
    </row>
    <row r="135" spans="1:16">
      <c r="B135" s="216" t="s">
        <v>147</v>
      </c>
      <c r="C135" s="217" t="s">
        <v>151</v>
      </c>
      <c r="D135" s="232">
        <v>5.75</v>
      </c>
      <c r="E135" s="232">
        <v>85.61</v>
      </c>
      <c r="F135" s="232">
        <v>29.890992541594951</v>
      </c>
      <c r="G135" s="233">
        <v>41635.74326319353</v>
      </c>
      <c r="H135" s="234">
        <v>6.12</v>
      </c>
      <c r="I135" s="234">
        <v>7.55</v>
      </c>
      <c r="J135" s="232">
        <v>2.8390176496451227</v>
      </c>
      <c r="K135" s="235">
        <v>98147.3</v>
      </c>
      <c r="L135" s="236">
        <v>2.4022988505747127E-2</v>
      </c>
      <c r="M135" s="237">
        <v>80</v>
      </c>
      <c r="N135" s="236">
        <v>2.5999999999999999E-2</v>
      </c>
      <c r="O135" s="236">
        <v>3.1E-2</v>
      </c>
      <c r="P135" s="238">
        <v>12388</v>
      </c>
    </row>
    <row r="136" spans="1:16">
      <c r="B136" s="216" t="s">
        <v>147</v>
      </c>
      <c r="C136" s="217" t="s">
        <v>152</v>
      </c>
      <c r="D136" s="232">
        <v>2.54</v>
      </c>
      <c r="E136" s="232">
        <v>85.23</v>
      </c>
      <c r="F136" s="232">
        <v>15.168539325842696</v>
      </c>
      <c r="G136" s="233">
        <v>67321.429582471959</v>
      </c>
      <c r="H136" s="234">
        <v>4.6100000000000003</v>
      </c>
      <c r="I136" s="234">
        <v>6.3550000000000004</v>
      </c>
      <c r="J136" s="232">
        <v>2.8390176496451227</v>
      </c>
      <c r="K136" s="235">
        <v>115940.36</v>
      </c>
      <c r="L136" s="236">
        <v>2.4022988505747127E-2</v>
      </c>
      <c r="M136" s="237">
        <v>80</v>
      </c>
      <c r="N136" s="236">
        <v>2.5999999999999999E-2</v>
      </c>
      <c r="O136" s="236">
        <v>3.1E-2</v>
      </c>
      <c r="P136" s="238">
        <v>7642</v>
      </c>
    </row>
  </sheetData>
  <mergeCells count="3">
    <mergeCell ref="D1:F1"/>
    <mergeCell ref="H1:J1"/>
    <mergeCell ref="L1:O1"/>
  </mergeCells>
  <pageMargins left="0.7" right="0.7" top="0.75" bottom="0.75" header="0.3" footer="0.3"/>
  <pageSetup paperSize="9" orientation="landscape"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AF67"/>
  <sheetViews>
    <sheetView showGridLines="0" showRowColHeaders="0" zoomScale="50" zoomScaleNormal="50" zoomScalePageLayoutView="60" workbookViewId="0">
      <selection activeCell="B2" sqref="B2"/>
    </sheetView>
  </sheetViews>
  <sheetFormatPr baseColWidth="10" defaultRowHeight="15.75"/>
  <cols>
    <col min="2" max="2" width="29.5" customWidth="1"/>
    <col min="3" max="19" width="8.5" customWidth="1"/>
    <col min="21" max="21" width="16.625" customWidth="1"/>
    <col min="22" max="27" width="14.125" customWidth="1"/>
    <col min="28" max="29" width="12.125" bestFit="1" customWidth="1"/>
    <col min="30" max="30" width="11.125" bestFit="1" customWidth="1"/>
    <col min="31" max="31" width="3.5" bestFit="1" customWidth="1"/>
    <col min="32" max="32" width="16.5" bestFit="1" customWidth="1"/>
  </cols>
  <sheetData>
    <row r="2" spans="1:30" ht="31.5">
      <c r="B2" s="122" t="s">
        <v>172</v>
      </c>
    </row>
    <row r="16" spans="1:30">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row>
    <row r="17" spans="1:32">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row>
    <row r="18" spans="1:32">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row>
    <row r="19" spans="1:32">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row>
    <row r="20" spans="1:32">
      <c r="A20" s="50"/>
      <c r="B20" s="87"/>
      <c r="C20" s="313" t="s">
        <v>162</v>
      </c>
      <c r="D20" s="313"/>
      <c r="E20" s="313"/>
      <c r="F20" s="313"/>
      <c r="G20" s="313"/>
      <c r="H20" s="313"/>
      <c r="I20" s="313"/>
      <c r="J20" s="313"/>
      <c r="K20" s="313"/>
      <c r="L20" s="313"/>
      <c r="M20" s="313"/>
      <c r="N20" s="313"/>
      <c r="O20" s="313"/>
      <c r="P20" s="313"/>
      <c r="Q20" s="313"/>
      <c r="R20" s="313"/>
      <c r="S20" s="313"/>
      <c r="T20" s="50"/>
      <c r="U20" s="85"/>
      <c r="V20" s="50"/>
      <c r="W20" s="50"/>
      <c r="X20" s="50"/>
      <c r="Y20" s="50"/>
      <c r="Z20" s="50"/>
      <c r="AA20" s="50"/>
      <c r="AB20" s="50"/>
      <c r="AC20" s="50"/>
      <c r="AD20" s="50"/>
    </row>
    <row r="21" spans="1:32" ht="16.5" thickBot="1">
      <c r="A21" s="50"/>
      <c r="B21" s="88"/>
      <c r="C21" s="323" t="s">
        <v>170</v>
      </c>
      <c r="D21" s="324"/>
      <c r="E21" s="324"/>
      <c r="F21" s="324"/>
      <c r="G21" s="324"/>
      <c r="H21" s="324"/>
      <c r="I21" s="324"/>
      <c r="J21" s="325"/>
      <c r="K21" s="36" t="s">
        <v>163</v>
      </c>
      <c r="L21" s="326" t="s">
        <v>169</v>
      </c>
      <c r="M21" s="327"/>
      <c r="N21" s="327"/>
      <c r="O21" s="327"/>
      <c r="P21" s="327"/>
      <c r="Q21" s="327"/>
      <c r="R21" s="327"/>
      <c r="S21" s="328"/>
      <c r="T21" s="50"/>
      <c r="U21" s="50"/>
      <c r="V21" s="50"/>
      <c r="W21" s="50"/>
      <c r="X21" s="50"/>
      <c r="Y21" s="50"/>
      <c r="Z21" s="50"/>
      <c r="AA21" s="50"/>
      <c r="AB21" s="50"/>
      <c r="AC21" s="50"/>
      <c r="AD21" s="50"/>
    </row>
    <row r="22" spans="1:32" ht="31.5" thickTop="1" thickBot="1">
      <c r="A22" s="50"/>
      <c r="B22" s="103" t="s">
        <v>0</v>
      </c>
      <c r="C22" s="27" t="s">
        <v>167</v>
      </c>
      <c r="D22" s="28"/>
      <c r="E22" s="28" t="s">
        <v>164</v>
      </c>
      <c r="F22" s="28"/>
      <c r="G22" s="28" t="s">
        <v>165</v>
      </c>
      <c r="H22" s="28"/>
      <c r="I22" s="28" t="s">
        <v>166</v>
      </c>
      <c r="J22" s="29"/>
      <c r="K22" s="37" t="s">
        <v>168</v>
      </c>
      <c r="L22" s="40"/>
      <c r="M22" s="41" t="s">
        <v>166</v>
      </c>
      <c r="N22" s="41"/>
      <c r="O22" s="41" t="s">
        <v>165</v>
      </c>
      <c r="P22" s="41"/>
      <c r="Q22" s="41" t="s">
        <v>164</v>
      </c>
      <c r="R22" s="41"/>
      <c r="S22" s="42" t="s">
        <v>167</v>
      </c>
      <c r="T22" s="7"/>
      <c r="U22" s="94"/>
      <c r="V22" s="104" t="s">
        <v>0</v>
      </c>
      <c r="W22" s="92" t="s">
        <v>2</v>
      </c>
      <c r="X22" s="92" t="s">
        <v>3</v>
      </c>
      <c r="Y22" s="92" t="s">
        <v>4</v>
      </c>
      <c r="Z22" s="92" t="s">
        <v>217</v>
      </c>
      <c r="AA22" s="92" t="s">
        <v>220</v>
      </c>
      <c r="AB22" s="105"/>
      <c r="AC22" s="50"/>
      <c r="AD22" s="50"/>
      <c r="AE22" s="7" t="s">
        <v>10</v>
      </c>
    </row>
    <row r="23" spans="1:32" ht="33" thickTop="1" thickBot="1">
      <c r="A23" s="89" t="str">
        <f t="shared" ref="A23:A30" si="0">IF(T23=0,"Marcar una 'x'",IF(T23&gt;1,"Sobran 'x'",""))</f>
        <v/>
      </c>
      <c r="B23" s="2" t="s">
        <v>6</v>
      </c>
      <c r="C23" s="30"/>
      <c r="D23" s="31"/>
      <c r="E23" s="31"/>
      <c r="F23" s="31"/>
      <c r="G23" s="31"/>
      <c r="H23" s="31"/>
      <c r="I23" s="31" t="s">
        <v>1</v>
      </c>
      <c r="J23" s="32"/>
      <c r="K23" s="38"/>
      <c r="L23" s="43"/>
      <c r="M23" s="44"/>
      <c r="N23" s="44"/>
      <c r="O23" s="44"/>
      <c r="P23" s="44"/>
      <c r="Q23" s="44"/>
      <c r="R23" s="44"/>
      <c r="S23" s="45"/>
      <c r="T23" s="105">
        <f t="shared" ref="T23:T30" si="1">COUNTIF(C23:S23,"x")</f>
        <v>1</v>
      </c>
      <c r="U23" s="5">
        <f>AB23/SUM(AB$23:AB$27)</f>
        <v>0.1668849482411966</v>
      </c>
      <c r="V23" s="93" t="s">
        <v>2</v>
      </c>
      <c r="W23" s="81">
        <v>1</v>
      </c>
      <c r="X23" s="4">
        <f>IF( OR(C23="X",C23="x"),1/9,IF(OR(D23="x",D23="X"),1/8,IF(OR(E23="x",E23="X"),1/7,IF(OR(F23="x",F23="X"),1/6,IF(OR(G23="x",G23="X"),1/5,IF(OR(H23="x",H23="X"),1/4,IF(OR(I23="x",I23="X"),1/3,IF(OR(J23="x",J23="X"),1/2,IF(OR(K23="x",K23="X"),1,IF(OR(L23="x",L23="X"),2,IF(OR(M23="x",M23="X"),3,IF(OR(N23="x",N23="X"),4,IF(OR(O23="x",O23="X"),5,IF(OR(P23="x",P23="X"),6,IF(OR(Q23="x",Q23="X"),7,IF(OR(R23="x",R23="X"),8,IF(OR(S23="x",S23="X"),9,"???")))))))))))))))))</f>
        <v>0.33333333333333331</v>
      </c>
      <c r="Y23" s="4">
        <f>IF( OR(C24="X",C24="x"),1/9,IF(OR(D24="x",D24="X"),1/8,IF(OR(E24="x",E24="X"),1/7,IF(OR(F24="x",F24="X"),1/6,IF(OR(G24="x",G24="X"),1/5,IF(OR(H24="x",H24="X"),1/4,IF(OR(I24="x",I24="X"),1/3,IF(OR(J24="x",J24="X"),1/2,IF(OR(K24="x",K24="X"),1,IF(OR(L24="x",L24="X"),2,IF(OR(M24="x",M24="X"),3,IF(OR(N24="x",N24="X"),4,IF(OR(O24="x",O24="X"),5,IF(OR(P24="x",P24="X"),6,IF(OR(Q24="x",Q24="X"),7,IF(OR(R24="x",R24="X"),8,IF(OR(S24="x",S24="X"),9,"???")))))))))))))))))</f>
        <v>0.33333333333333331</v>
      </c>
      <c r="Z23" s="4">
        <f>IF( OR(C25="X",C25="x"),1/9,IF(OR(D25="x",D25="X"),1/8,IF(OR(E25="x",E25="X"),1/7,IF(OR(F25="x",F25="X"),1/6,IF(OR(G25="x",G25="X"),1/5,IF(OR(H25="x",H25="X"),1/4,IF(OR(I25="x",I25="X"),1/3,IF(OR(J25="x",J25="X"),1/2,IF(OR(K25="x",K25="X"),1,IF(OR(L25="x",L25="X"),2,IF(OR(M25="x",M25="X"),3,IF(OR(N25="x",N25="X"),4,IF(OR(O25="x",O25="X"),5,IF(OR(P25="x",P25="X"),6,IF(OR(Q25="x",Q25="X"),7,IF(OR(R25="x",R25="X"),8,IF(OR(S25="x",S25="X"),9,"???")))))))))))))))))</f>
        <v>3</v>
      </c>
      <c r="AA23" s="82">
        <f>IF( OR(C26="X",C26="x"),1/9,IF(OR(D26="x",D26="X"),1/8,IF(OR(E26="x",E26="X"),1/7,IF(OR(F26="x",F26="X"),1/6,IF(OR(G26="x",G26="X"),1/5,IF(OR(H26="x",H26="X"),1/4,IF(OR(I26="x",I26="X"),1/3,IF(OR(J26="x",J26="X"),1/2,IF(OR(K26="x",K26="X"),1,IF(OR(L26="x",L26="X"),2,IF(OR(M26="x",M26="X"),3,IF(OR(N26="x",N26="X"),4,IF(OR(O26="x",O26="X"),5,IF(OR(P26="x",P26="X"),6,IF(OR(Q26="x",Q26="X"),7,IF(OR(R26="x",R26="X"),8,IF(OR(S26="x",S26="X"),9,"???")))))))))))))))))</f>
        <v>3</v>
      </c>
      <c r="AB23" s="108">
        <f>POWER(W23*X23*Y23*Z23*AA23,1/5)</f>
        <v>1</v>
      </c>
      <c r="AC23" s="50"/>
      <c r="AD23" s="50"/>
      <c r="AE23" s="7" t="s">
        <v>12</v>
      </c>
    </row>
    <row r="24" spans="1:32" ht="33" thickTop="1" thickBot="1">
      <c r="A24" s="89" t="str">
        <f t="shared" si="0"/>
        <v/>
      </c>
      <c r="B24" s="1" t="s">
        <v>7</v>
      </c>
      <c r="C24" s="33"/>
      <c r="D24" s="34"/>
      <c r="E24" s="34"/>
      <c r="F24" s="34"/>
      <c r="G24" s="34"/>
      <c r="H24" s="34"/>
      <c r="I24" s="34" t="s">
        <v>1</v>
      </c>
      <c r="J24" s="35"/>
      <c r="K24" s="39"/>
      <c r="L24" s="46"/>
      <c r="M24" s="47"/>
      <c r="N24" s="47"/>
      <c r="O24" s="47"/>
      <c r="P24" s="47"/>
      <c r="Q24" s="47"/>
      <c r="R24" s="47"/>
      <c r="S24" s="48"/>
      <c r="T24" s="105">
        <f t="shared" si="1"/>
        <v>1</v>
      </c>
      <c r="U24" s="5">
        <f>AB24/SUM(AB$23:AB$27)</f>
        <v>0.32261898550924784</v>
      </c>
      <c r="V24" s="93" t="s">
        <v>3</v>
      </c>
      <c r="W24" s="81">
        <f>1/X23</f>
        <v>3</v>
      </c>
      <c r="X24" s="4">
        <v>1</v>
      </c>
      <c r="Y24" s="4">
        <f>IF( OR(C27="X",C27="x"),1/9,IF(OR(D27="x",D27="X"),1/8,IF(OR(E27="x",E27="X"),1/7,IF(OR(F27="x",F27="X"),1/6,IF(OR(G27="x",G27="X"),1/5,IF(OR(H27="x",H27="X"),1/4,IF(OR(I27="x",I27="X"),1/3,IF(OR(J27="x",J27="X"),1/2,IF(OR(K27="x",K27="X"),1,IF(OR(L27="x",L27="X"),2,IF(OR(M27="x",M27="X"),3,IF(OR(N27="x",N27="X"),4,IF(OR(O27="x",O27="X"),5,IF(OR(P27="x",P27="X"),6,IF(OR(Q27="x",Q27="X"),7,IF(OR(R27="x",R27="X"),8,IF(OR(S27="x",S27="X"),9,"???")))))))))))))))))</f>
        <v>1</v>
      </c>
      <c r="Z24" s="4">
        <f>IF( OR(C28="X",C28="x"),1/9,IF(OR(D28="x",D28="X"),1/8,IF(OR(E28="x",E28="X"),1/7,IF(OR(F28="x",F28="X"),1/6,IF(OR(G28="x",G28="X"),1/5,IF(OR(H28="x",H28="X"),1/4,IF(OR(I28="x",I28="X"),1/3,IF(OR(J28="x",J28="X"),1/2,IF(OR(K28="x",K28="X"),1,IF(OR(L28="x",L28="X"),2,IF(OR(M28="x",M28="X"),3,IF(OR(N28="x",N28="X"),4,IF(OR(O28="x",O28="X"),5,IF(OR(P28="x",P28="X"),6,IF(OR(Q28="x",Q28="X"),7,IF(OR(R28="x",R28="X"),8,IF(OR(S28="x",S28="X"),9,"???")))))))))))))))))</f>
        <v>3</v>
      </c>
      <c r="AA24" s="82">
        <f>IF( OR(C29="X",C29="x"),1/9,IF(OR(D29="x",D29="X"),1/8,IF(OR(E29="x",E29="X"),1/7,IF(OR(F29="x",F29="X"),1/6,IF(OR(G29="x",G29="X"),1/5,IF(OR(H29="x",H29="X"),1/4,IF(OR(I29="x",I29="X"),1/3,IF(OR(J29="x",J29="X"),1/2,IF(OR(K29="x",K29="X"),1,IF(OR(L29="x",L29="X"),2,IF(OR(M29="x",M29="X"),3,IF(OR(N29="x",N29="X"),4,IF(OR(O29="x",O29="X"),5,IF(OR(P29="x",P29="X"),6,IF(OR(Q29="x",Q29="X"),7,IF(OR(R29="x",R29="X"),8,IF(OR(S29="x",S29="X"),9,"???")))))))))))))))))</f>
        <v>3</v>
      </c>
      <c r="AB24" s="108">
        <f>POWER(W24*X24*Y24*Z24*AA24,1/5)</f>
        <v>1.9331820449317627</v>
      </c>
      <c r="AC24" s="50"/>
      <c r="AD24" s="50"/>
      <c r="AE24" s="7">
        <v>0</v>
      </c>
    </row>
    <row r="25" spans="1:32" ht="33" thickTop="1" thickBot="1">
      <c r="A25" s="89" t="str">
        <f t="shared" si="0"/>
        <v/>
      </c>
      <c r="B25" s="1" t="s">
        <v>294</v>
      </c>
      <c r="C25" s="33"/>
      <c r="D25" s="34"/>
      <c r="E25" s="34"/>
      <c r="F25" s="34"/>
      <c r="G25" s="34"/>
      <c r="H25" s="34"/>
      <c r="I25" s="34"/>
      <c r="J25" s="35"/>
      <c r="K25" s="39"/>
      <c r="L25" s="46"/>
      <c r="M25" s="47" t="s">
        <v>1</v>
      </c>
      <c r="N25" s="47"/>
      <c r="O25" s="47"/>
      <c r="P25" s="47"/>
      <c r="Q25" s="47"/>
      <c r="R25" s="47"/>
      <c r="S25" s="48"/>
      <c r="T25" s="105">
        <f t="shared" si="1"/>
        <v>1</v>
      </c>
      <c r="U25" s="5">
        <f>AB25/SUM(AB$23:AB$27)</f>
        <v>0.34172572102637661</v>
      </c>
      <c r="V25" s="93" t="s">
        <v>4</v>
      </c>
      <c r="W25" s="81">
        <f>1/Y23</f>
        <v>3</v>
      </c>
      <c r="X25" s="4">
        <f>1/Y24</f>
        <v>1</v>
      </c>
      <c r="Y25" s="4">
        <v>1</v>
      </c>
      <c r="Z25" s="4">
        <f>IF( OR(C30="X",C30="x"),1/9,IF(OR(D30="x",D30="X"),1/8,IF(OR(E30="x",E30="X"),1/7,IF(OR(F30="x",F30="X"),1/6,IF(OR(G30="x",G30="X"),1/5,IF(OR(H30="x",H30="X"),1/4,IF(OR(I30="x",I30="X"),1/3,IF(OR(J30="x",J30="X"),1/2,IF(OR(K30="x",K30="X"),1,IF(OR(L30="x",L30="X"),2,IF(OR(M30="x",M30="X"),3,IF(OR(N30="x",N30="X"),4,IF(OR(O30="x",O30="X"),5,IF(OR(P30="x",P30="X"),6,IF(OR(Q30="x",Q30="X"),7,IF(OR(R30="x",R30="X"),8,IF(OR(S30="x",S30="X"),9,"???")))))))))))))))))</f>
        <v>3</v>
      </c>
      <c r="AA25" s="82">
        <f>IF( OR(C31="X",C31="x"),1/9,IF(OR(D31="x",D31="X"),1/8,IF(OR(E31="x",E31="X"),1/7,IF(OR(F31="x",F31="X"),1/6,IF(OR(G31="x",G31="X"),1/5,IF(OR(H31="x",H31="X"),1/4,IF(OR(I31="x",I31="X"),1/3,IF(OR(J31="x",J31="X"),1/2,IF(OR(K31="x",K31="X"),1,IF(OR(L31="x",L31="X"),2,IF(OR(M31="x",M31="X"),3,IF(OR(N31="x",N31="X"),4,IF(OR(O31="x",O31="X"),5,IF(OR(P31="x",P31="X"),6,IF(OR(Q31="x",Q31="X"),7,IF(OR(R31="x",R31="X"),8,IF(OR(S31="x",S31="X"),9,"???")))))))))))))))))</f>
        <v>4</v>
      </c>
      <c r="AB25" s="108">
        <f>POWER(W25*X25*Y25*Z25*AA25,1/5)</f>
        <v>2.0476725110792193</v>
      </c>
      <c r="AC25" s="50"/>
      <c r="AD25" s="50"/>
      <c r="AE25" s="7">
        <v>0</v>
      </c>
    </row>
    <row r="26" spans="1:32" ht="33" thickTop="1" thickBot="1">
      <c r="A26" s="89" t="str">
        <f t="shared" si="0"/>
        <v/>
      </c>
      <c r="B26" s="1" t="s">
        <v>221</v>
      </c>
      <c r="C26" s="33"/>
      <c r="D26" s="34"/>
      <c r="E26" s="34"/>
      <c r="F26" s="34"/>
      <c r="G26" s="34"/>
      <c r="H26" s="34"/>
      <c r="I26" s="34"/>
      <c r="J26" s="35"/>
      <c r="K26" s="39"/>
      <c r="L26" s="46"/>
      <c r="M26" s="47" t="s">
        <v>1</v>
      </c>
      <c r="N26" s="47"/>
      <c r="O26" s="47"/>
      <c r="P26" s="47"/>
      <c r="Q26" s="47"/>
      <c r="R26" s="47"/>
      <c r="S26" s="48"/>
      <c r="T26" s="105">
        <f t="shared" si="1"/>
        <v>1</v>
      </c>
      <c r="U26" s="5">
        <f>AB26/SUM(AB$23:AB$27)</f>
        <v>7.515163203481251E-2</v>
      </c>
      <c r="V26" s="93" t="s">
        <v>289</v>
      </c>
      <c r="W26" s="81">
        <f>1/Z23</f>
        <v>0.33333333333333331</v>
      </c>
      <c r="X26" s="4">
        <f>1/Z24</f>
        <v>0.33333333333333331</v>
      </c>
      <c r="Y26" s="4">
        <f>1/Z25</f>
        <v>0.33333333333333331</v>
      </c>
      <c r="Z26" s="4">
        <v>1</v>
      </c>
      <c r="AA26" s="82">
        <f>IF( OR(C32="X",C32="x"),1/9,IF(OR(D32="x",D32="X"),1/8,IF(OR(E32="x",E32="X"),1/7,IF(OR(F32="x",F32="X"),1/6,IF(OR(G32="x",G32="X"),1/5,IF(OR(H32="x",H32="X"),1/4,IF(OR(I32="x",I32="X"),1/3,IF(OR(J32="x",J32="X"),1/2,IF(OR(K32="x",K32="X"),1,IF(OR(L32="x",L32="X"),2,IF(OR(M32="x",M32="X"),3,IF(OR(N32="x",N32="X"),4,IF(OR(O32="x",O32="X"),5,IF(OR(P32="x",P32="X"),6,IF(OR(Q32="x",Q32="X"),7,IF(OR(R32="x",R32="X"),8,IF(OR(S32="x",S32="X"),9,"???")))))))))))))))))</f>
        <v>0.5</v>
      </c>
      <c r="AB26" s="108">
        <f>POWER(W26*X26*Y26*Z26*AA26,1/5)</f>
        <v>0.45032001284020445</v>
      </c>
      <c r="AC26" s="50"/>
      <c r="AD26" s="50"/>
      <c r="AE26" s="7">
        <v>0.57999999999999996</v>
      </c>
    </row>
    <row r="27" spans="1:32" ht="33" thickTop="1" thickBot="1">
      <c r="A27" s="89" t="str">
        <f t="shared" si="0"/>
        <v/>
      </c>
      <c r="B27" s="1" t="s">
        <v>8</v>
      </c>
      <c r="C27" s="33"/>
      <c r="D27" s="34"/>
      <c r="E27" s="34"/>
      <c r="F27" s="34"/>
      <c r="G27" s="34"/>
      <c r="H27" s="34"/>
      <c r="I27" s="34"/>
      <c r="J27" s="35"/>
      <c r="K27" s="39" t="s">
        <v>1</v>
      </c>
      <c r="L27" s="46"/>
      <c r="M27" s="47"/>
      <c r="N27" s="47"/>
      <c r="O27" s="47"/>
      <c r="P27" s="47"/>
      <c r="Q27" s="47"/>
      <c r="R27" s="47"/>
      <c r="S27" s="48"/>
      <c r="T27" s="105">
        <f t="shared" si="1"/>
        <v>1</v>
      </c>
      <c r="U27" s="5">
        <f>AB27/SUM(AB$23:AB$27)</f>
        <v>9.3618713188366592E-2</v>
      </c>
      <c r="V27" s="93" t="s">
        <v>220</v>
      </c>
      <c r="W27" s="81">
        <f>1/AA23</f>
        <v>0.33333333333333331</v>
      </c>
      <c r="X27" s="4">
        <f>1/AA24</f>
        <v>0.33333333333333331</v>
      </c>
      <c r="Y27" s="4">
        <f>1/AA25</f>
        <v>0.25</v>
      </c>
      <c r="Z27" s="4">
        <f>1/AA26</f>
        <v>2</v>
      </c>
      <c r="AA27" s="82">
        <v>1</v>
      </c>
      <c r="AB27" s="108">
        <f>POWER(W27*X27*Y27*Z27*AA27,1/5)</f>
        <v>0.56097757272309967</v>
      </c>
      <c r="AD27" s="50"/>
      <c r="AE27" s="7">
        <v>4</v>
      </c>
      <c r="AF27" s="7">
        <v>0.9</v>
      </c>
    </row>
    <row r="28" spans="1:32" ht="32.25" thickTop="1">
      <c r="A28" s="89" t="str">
        <f t="shared" si="0"/>
        <v/>
      </c>
      <c r="B28" s="1" t="s">
        <v>218</v>
      </c>
      <c r="C28" s="33"/>
      <c r="D28" s="34"/>
      <c r="E28" s="34"/>
      <c r="F28" s="34"/>
      <c r="G28" s="34"/>
      <c r="H28" s="34"/>
      <c r="I28" s="34"/>
      <c r="J28" s="35"/>
      <c r="K28" s="39"/>
      <c r="L28" s="46"/>
      <c r="M28" s="47" t="s">
        <v>1</v>
      </c>
      <c r="N28" s="47"/>
      <c r="O28" s="47"/>
      <c r="P28" s="47"/>
      <c r="Q28" s="47"/>
      <c r="R28" s="47"/>
      <c r="S28" s="48"/>
      <c r="T28" s="105">
        <f t="shared" si="1"/>
        <v>1</v>
      </c>
      <c r="U28" s="8" t="s">
        <v>171</v>
      </c>
      <c r="V28" s="61">
        <f>AB30/1.12</f>
        <v>4.9652462527042085E-2</v>
      </c>
      <c r="W28" s="106">
        <f>SUM(W23:W27)</f>
        <v>7.6666666666666661</v>
      </c>
      <c r="X28" s="106">
        <f>SUM(X23:X27)</f>
        <v>3</v>
      </c>
      <c r="Y28" s="106">
        <f>SUM(Y23:Y27)</f>
        <v>2.9166666666666665</v>
      </c>
      <c r="Z28" s="106">
        <f>SUM(Z23:Z27)</f>
        <v>12</v>
      </c>
      <c r="AA28" s="106">
        <f>SUM(AA23:AA27)</f>
        <v>11.5</v>
      </c>
      <c r="AB28" s="7"/>
      <c r="AD28" s="50"/>
      <c r="AE28" s="7">
        <v>5</v>
      </c>
      <c r="AF28" s="7">
        <v>1.1200000000000001</v>
      </c>
    </row>
    <row r="29" spans="1:32" ht="32.1" customHeight="1">
      <c r="A29" s="89" t="str">
        <f t="shared" si="0"/>
        <v/>
      </c>
      <c r="B29" s="1" t="s">
        <v>222</v>
      </c>
      <c r="C29" s="33"/>
      <c r="D29" s="34"/>
      <c r="E29" s="34"/>
      <c r="F29" s="34"/>
      <c r="G29" s="34"/>
      <c r="H29" s="34"/>
      <c r="I29" s="34"/>
      <c r="J29" s="35"/>
      <c r="K29" s="39"/>
      <c r="L29" s="46"/>
      <c r="M29" s="47" t="s">
        <v>1</v>
      </c>
      <c r="N29" s="47"/>
      <c r="O29" s="47"/>
      <c r="P29" s="47"/>
      <c r="Q29" s="47"/>
      <c r="R29" s="47"/>
      <c r="S29" s="48"/>
      <c r="T29" s="105">
        <f t="shared" si="1"/>
        <v>1</v>
      </c>
      <c r="U29" s="322" t="s">
        <v>225</v>
      </c>
      <c r="V29" s="322"/>
      <c r="W29" s="7">
        <f>W28*U23</f>
        <v>1.2794512698491738</v>
      </c>
      <c r="X29" s="7">
        <f>X28*U24</f>
        <v>0.96785695652774351</v>
      </c>
      <c r="Y29" s="7">
        <f>Y28*U25</f>
        <v>0.996700019660265</v>
      </c>
      <c r="Z29" s="7">
        <f>Z28*U26</f>
        <v>0.90181958441775012</v>
      </c>
      <c r="AA29" s="7">
        <f>AA28*U27</f>
        <v>1.0766152016662158</v>
      </c>
      <c r="AB29" s="107">
        <f>SUM(W29:AA29)</f>
        <v>5.2224430321211486</v>
      </c>
      <c r="AD29" s="50"/>
      <c r="AE29" s="7">
        <v>6</v>
      </c>
      <c r="AF29" s="7">
        <v>1.24</v>
      </c>
    </row>
    <row r="30" spans="1:32" ht="31.5">
      <c r="A30" s="89" t="str">
        <f t="shared" si="0"/>
        <v/>
      </c>
      <c r="B30" s="1" t="s">
        <v>219</v>
      </c>
      <c r="C30" s="33"/>
      <c r="D30" s="34"/>
      <c r="E30" s="34"/>
      <c r="F30" s="34"/>
      <c r="G30" s="34"/>
      <c r="H30" s="34"/>
      <c r="I30" s="34"/>
      <c r="J30" s="35"/>
      <c r="K30" s="39"/>
      <c r="L30" s="46"/>
      <c r="M30" s="47" t="s">
        <v>1</v>
      </c>
      <c r="N30" s="47"/>
      <c r="O30" s="47"/>
      <c r="P30" s="47"/>
      <c r="Q30" s="47"/>
      <c r="R30" s="47"/>
      <c r="S30" s="48"/>
      <c r="T30" s="105">
        <f t="shared" si="1"/>
        <v>1</v>
      </c>
      <c r="U30" s="322"/>
      <c r="V30" s="322"/>
      <c r="W30" s="7"/>
      <c r="X30" s="7"/>
      <c r="Y30" s="7"/>
      <c r="Z30" s="7"/>
      <c r="AA30" s="7"/>
      <c r="AB30" s="7">
        <f>(AB29-5)/4</f>
        <v>5.5610758030287144E-2</v>
      </c>
      <c r="AD30" s="50"/>
      <c r="AE30" s="7"/>
      <c r="AF30" s="7"/>
    </row>
    <row r="31" spans="1:32" ht="31.5">
      <c r="A31" s="89" t="str">
        <f>IF(T31=0,"Marcar una 'x'",IF(T31&gt;1,"Sobran 'x'",""))</f>
        <v/>
      </c>
      <c r="B31" s="1" t="s">
        <v>223</v>
      </c>
      <c r="C31" s="33"/>
      <c r="D31" s="34"/>
      <c r="E31" s="34"/>
      <c r="F31" s="34"/>
      <c r="G31" s="34"/>
      <c r="H31" s="34"/>
      <c r="I31" s="34"/>
      <c r="J31" s="35"/>
      <c r="K31" s="39"/>
      <c r="L31" s="46"/>
      <c r="M31" s="47"/>
      <c r="N31" s="47" t="s">
        <v>1</v>
      </c>
      <c r="O31" s="47"/>
      <c r="P31" s="47"/>
      <c r="Q31" s="47"/>
      <c r="R31" s="47"/>
      <c r="S31" s="48"/>
      <c r="T31" s="105">
        <f>COUNTIF(C31:S31,"x")</f>
        <v>1</v>
      </c>
      <c r="U31" s="54"/>
      <c r="V31" s="50"/>
      <c r="W31" s="50"/>
      <c r="X31" s="50"/>
      <c r="Y31" s="50"/>
      <c r="Z31" s="50"/>
      <c r="AA31" s="50"/>
      <c r="AB31" s="50"/>
      <c r="AD31" s="50"/>
      <c r="AE31" s="7"/>
      <c r="AF31" s="7"/>
    </row>
    <row r="32" spans="1:32" ht="31.5">
      <c r="A32" s="89" t="str">
        <f>IF(T32=0,"Marcar una 'x'",IF(T32&gt;1,"Sobran 'x'",""))</f>
        <v/>
      </c>
      <c r="B32" s="1" t="s">
        <v>224</v>
      </c>
      <c r="C32" s="33"/>
      <c r="D32" s="34"/>
      <c r="E32" s="34"/>
      <c r="F32" s="34"/>
      <c r="G32" s="34"/>
      <c r="H32" s="34"/>
      <c r="I32" s="34"/>
      <c r="J32" s="35" t="s">
        <v>1</v>
      </c>
      <c r="K32" s="39"/>
      <c r="L32" s="46"/>
      <c r="M32" s="47"/>
      <c r="N32" s="47"/>
      <c r="O32" s="47"/>
      <c r="P32" s="47"/>
      <c r="Q32" s="47"/>
      <c r="R32" s="47"/>
      <c r="S32" s="48"/>
      <c r="T32" s="105">
        <f>COUNTIF(C32:S32,"x")</f>
        <v>1</v>
      </c>
      <c r="U32" s="54"/>
      <c r="V32" s="50"/>
      <c r="W32" s="50"/>
      <c r="X32" s="50"/>
      <c r="Y32" s="50"/>
      <c r="Z32" s="50"/>
      <c r="AA32" s="50"/>
      <c r="AB32" s="50"/>
      <c r="AC32" s="50"/>
      <c r="AD32" s="50"/>
      <c r="AE32" s="7">
        <v>7</v>
      </c>
      <c r="AF32" s="7">
        <v>1.32</v>
      </c>
    </row>
    <row r="33" spans="1:31" ht="57" customHeight="1">
      <c r="A33" s="50"/>
      <c r="B33" s="50"/>
      <c r="C33" s="50"/>
      <c r="D33" s="50"/>
      <c r="E33" s="50"/>
      <c r="F33" s="50"/>
      <c r="G33" s="50"/>
      <c r="H33" s="50"/>
      <c r="I33" s="50"/>
      <c r="J33" s="50"/>
      <c r="K33" s="50"/>
      <c r="L33" s="50"/>
      <c r="M33" s="50"/>
      <c r="N33" s="50"/>
      <c r="O33" s="50"/>
      <c r="P33" s="50"/>
      <c r="Q33" s="50"/>
      <c r="R33" s="50"/>
      <c r="S33" s="50"/>
      <c r="T33" s="105"/>
      <c r="U33" s="50"/>
      <c r="V33" s="50"/>
      <c r="W33" s="50"/>
      <c r="X33" s="50"/>
      <c r="Y33" s="50"/>
      <c r="Z33" s="50"/>
      <c r="AA33" s="50"/>
      <c r="AB33" s="50"/>
      <c r="AC33" s="50"/>
      <c r="AD33" s="50"/>
    </row>
    <row r="34" spans="1:31">
      <c r="A34" s="50"/>
      <c r="B34" s="3"/>
      <c r="C34" s="313" t="s">
        <v>162</v>
      </c>
      <c r="D34" s="313"/>
      <c r="E34" s="313"/>
      <c r="F34" s="313"/>
      <c r="G34" s="313"/>
      <c r="H34" s="313"/>
      <c r="I34" s="313"/>
      <c r="J34" s="313"/>
      <c r="K34" s="313"/>
      <c r="L34" s="313"/>
      <c r="M34" s="313"/>
      <c r="N34" s="313"/>
      <c r="O34" s="313"/>
      <c r="P34" s="313"/>
      <c r="Q34" s="313"/>
      <c r="R34" s="313"/>
      <c r="S34" s="313"/>
      <c r="T34" s="105"/>
      <c r="U34" s="50"/>
      <c r="V34" s="50"/>
      <c r="W34" s="50"/>
      <c r="X34" s="50"/>
      <c r="Y34" s="50"/>
      <c r="Z34" s="50"/>
      <c r="AA34" s="50"/>
      <c r="AB34" s="60"/>
      <c r="AC34" s="50"/>
      <c r="AD34" s="58"/>
      <c r="AE34" s="7">
        <v>1.51</v>
      </c>
    </row>
    <row r="35" spans="1:31" ht="16.5" thickBot="1">
      <c r="A35" s="50"/>
      <c r="B35" s="26"/>
      <c r="C35" s="323" t="s">
        <v>170</v>
      </c>
      <c r="D35" s="324"/>
      <c r="E35" s="324"/>
      <c r="F35" s="324"/>
      <c r="G35" s="324"/>
      <c r="H35" s="324"/>
      <c r="I35" s="324"/>
      <c r="J35" s="325"/>
      <c r="K35" s="36" t="s">
        <v>163</v>
      </c>
      <c r="L35" s="326" t="s">
        <v>169</v>
      </c>
      <c r="M35" s="327"/>
      <c r="N35" s="327"/>
      <c r="O35" s="327"/>
      <c r="P35" s="327"/>
      <c r="Q35" s="327"/>
      <c r="R35" s="327"/>
      <c r="S35" s="328"/>
      <c r="T35" s="105"/>
      <c r="U35" s="50"/>
      <c r="V35" s="50"/>
      <c r="W35" s="50"/>
      <c r="X35" s="50"/>
      <c r="Y35" s="50"/>
      <c r="Z35" s="50"/>
      <c r="AA35" s="50"/>
      <c r="AB35" s="50"/>
      <c r="AC35" s="50"/>
      <c r="AD35" s="58"/>
    </row>
    <row r="36" spans="1:31" ht="31.5" thickTop="1" thickBot="1">
      <c r="A36" s="50"/>
      <c r="B36" s="49" t="s">
        <v>2</v>
      </c>
      <c r="C36" s="27" t="s">
        <v>167</v>
      </c>
      <c r="D36" s="28"/>
      <c r="E36" s="28" t="s">
        <v>164</v>
      </c>
      <c r="F36" s="28"/>
      <c r="G36" s="28" t="s">
        <v>165</v>
      </c>
      <c r="H36" s="28"/>
      <c r="I36" s="28" t="s">
        <v>166</v>
      </c>
      <c r="J36" s="29"/>
      <c r="K36" s="37" t="s">
        <v>168</v>
      </c>
      <c r="L36" s="40"/>
      <c r="M36" s="41" t="s">
        <v>166</v>
      </c>
      <c r="N36" s="41"/>
      <c r="O36" s="41" t="s">
        <v>165</v>
      </c>
      <c r="P36" s="41"/>
      <c r="Q36" s="41" t="s">
        <v>164</v>
      </c>
      <c r="R36" s="41"/>
      <c r="S36" s="42" t="s">
        <v>167</v>
      </c>
      <c r="T36" s="105"/>
      <c r="U36" s="94"/>
      <c r="V36" s="95" t="s">
        <v>2</v>
      </c>
      <c r="W36" s="97" t="s">
        <v>251</v>
      </c>
      <c r="X36" s="97" t="s">
        <v>14</v>
      </c>
      <c r="Y36" s="97" t="s">
        <v>238</v>
      </c>
      <c r="Z36" s="56"/>
      <c r="AA36" s="50"/>
      <c r="AB36" s="50"/>
      <c r="AC36" s="58"/>
    </row>
    <row r="37" spans="1:31" ht="33" thickTop="1" thickBot="1">
      <c r="A37" s="89" t="str">
        <f>IF(T37=0,"Marcar una 'x'",IF(T37&gt;1,"Sobran 'x'",""))</f>
        <v/>
      </c>
      <c r="B37" s="2" t="s">
        <v>252</v>
      </c>
      <c r="C37" s="30"/>
      <c r="D37" s="31"/>
      <c r="E37" s="31"/>
      <c r="F37" s="31"/>
      <c r="G37" s="31"/>
      <c r="H37" s="31"/>
      <c r="I37" s="31"/>
      <c r="J37" s="32"/>
      <c r="K37" s="38"/>
      <c r="L37" s="43"/>
      <c r="M37" s="44" t="s">
        <v>1</v>
      </c>
      <c r="N37" s="44"/>
      <c r="O37" s="44"/>
      <c r="P37" s="44"/>
      <c r="Q37" s="44"/>
      <c r="R37" s="44"/>
      <c r="S37" s="45"/>
      <c r="T37" s="105">
        <f>COUNTIF(C37:S37,"x")</f>
        <v>1</v>
      </c>
      <c r="U37" s="5">
        <f>Z37/SUM(Z$37:Z$39)</f>
        <v>0.3</v>
      </c>
      <c r="V37" s="96" t="s">
        <v>251</v>
      </c>
      <c r="W37" s="81">
        <v>1</v>
      </c>
      <c r="X37" s="4">
        <f>IF( OR(C37="X",C37="x"),1/9,IF(OR(D37="x",D37="X"),1/8,IF(OR(E37="x",E37="X"),1/7,IF(OR(F37="x",F37="X"),1/6,IF(OR(G37="x",G37="X"),1/5,IF(OR(H37="x",H37="X"),1/4,IF(OR(I37="x",I37="X"),1/3,IF(OR(J37="x",J37="X"),1/2,IF(OR(K37="x",K37="X"),1,IF(OR(L37="x",L37="X"),2,IF(OR(M37="x",M37="X"),3,IF(OR(N37="x",N37="X"),4,IF(OR(O37="x",O37="X"),5,IF(OR(P37="x",P37="X"),6,IF(OR(Q37="x",Q37="X"),7,IF(OR(R37="x",R37="X"),8,IF(OR(S37="x",S37="X"),9,"???")))))))))))))))))</f>
        <v>3</v>
      </c>
      <c r="Y37" s="82">
        <f>IF( OR(C38="X",C38="x"),1/9,IF(OR(D38="x",D38="X"),1/8,IF(OR(E38="x",E38="X"),1/7,IF(OR(F38="x",F38="X"),1/6,IF(OR(G38="x",G38="X"),1/5,IF(OR(H38="x",H38="X"),1/4,IF(OR(I38="x",I38="X"),1/3,IF(OR(J38="x",J38="X"),1/2,IF(OR(K38="x",K38="X"),1,IF(OR(L38="x",L38="X"),2,IF(OR(M38="x",M38="X"),3,IF(OR(N38="x",N38="X"),4,IF(OR(O38="x",O38="X"),5,IF(OR(P38="x",P38="X"),6,IF(OR(Q38="x",Q38="X"),7,IF(OR(R38="x",R38="X"),8,IF(OR(S38="x",S38="X"),9,"???")))))))))))))))))</f>
        <v>0.5</v>
      </c>
      <c r="Z37" s="108">
        <f>POWER(W37*X37*Y37,1/3)</f>
        <v>1.1447142425533319</v>
      </c>
      <c r="AA37" s="4"/>
      <c r="AB37" s="52"/>
      <c r="AC37" s="50"/>
      <c r="AD37" s="6"/>
    </row>
    <row r="38" spans="1:31" ht="33" thickTop="1" thickBot="1">
      <c r="A38" s="89" t="str">
        <f>IF(T38=0,"Marcar una 'x'",IF(T38&gt;1,"Sobran 'x'",""))</f>
        <v/>
      </c>
      <c r="B38" s="2" t="s">
        <v>253</v>
      </c>
      <c r="C38" s="30"/>
      <c r="D38" s="31"/>
      <c r="E38" s="31"/>
      <c r="F38" s="31"/>
      <c r="G38" s="31"/>
      <c r="H38" s="31"/>
      <c r="I38" s="31"/>
      <c r="J38" s="32" t="s">
        <v>1</v>
      </c>
      <c r="K38" s="38"/>
      <c r="L38" s="43"/>
      <c r="M38" s="44"/>
      <c r="N38" s="44"/>
      <c r="O38" s="44"/>
      <c r="P38" s="44"/>
      <c r="Q38" s="44"/>
      <c r="R38" s="44"/>
      <c r="S38" s="45"/>
      <c r="T38" s="105">
        <f>COUNTIF(C38:S38,"x")</f>
        <v>1</v>
      </c>
      <c r="U38" s="5">
        <f>Z38/SUM(Z$37:Z$39)</f>
        <v>0.1</v>
      </c>
      <c r="V38" s="96" t="s">
        <v>14</v>
      </c>
      <c r="W38" s="81">
        <f>1/X37</f>
        <v>0.33333333333333331</v>
      </c>
      <c r="X38" s="4">
        <v>1</v>
      </c>
      <c r="Y38" s="82">
        <f>IF( OR(C39="X",C39="x"),1/9,IF(OR(D39="x",D39="X"),1/8,IF(OR(E39="x",E39="X"),1/7,IF(OR(F39="x",F39="X"),1/6,IF(OR(G39="x",G39="X"),1/5,IF(OR(H39="x",H39="X"),1/4,IF(OR(I39="x",I39="X"),1/3,IF(OR(J39="x",J39="X"),1/2,IF(OR(K39="x",K39="X"),1,IF(OR(L39="x",L39="X"),2,IF(OR(M39="x",M39="X"),3,IF(OR(N39="x",N39="X"),4,IF(OR(O39="x",O39="X"),5,IF(OR(P39="x",P39="X"),6,IF(OR(Q39="x",Q39="X"),7,IF(OR(R39="x",R39="X"),8,IF(OR(S39="x",S39="X"),9,"???")))))))))))))))))</f>
        <v>0.16666666666666666</v>
      </c>
      <c r="Z38" s="108">
        <f>POWER(W38*X38*Y38,1/3)</f>
        <v>0.38157141418444396</v>
      </c>
      <c r="AA38" s="4"/>
      <c r="AB38" s="52"/>
      <c r="AC38" s="50"/>
      <c r="AD38" s="6"/>
    </row>
    <row r="39" spans="1:31" ht="33" thickTop="1" thickBot="1">
      <c r="A39" s="89" t="str">
        <f>IF(T39=0,"Marcar una 'x'",IF(T39&gt;1,"Sobran 'x'",""))</f>
        <v/>
      </c>
      <c r="B39" s="2" t="s">
        <v>240</v>
      </c>
      <c r="C39" s="30"/>
      <c r="D39" s="31"/>
      <c r="E39" s="31"/>
      <c r="F39" s="31" t="s">
        <v>1</v>
      </c>
      <c r="G39" s="31"/>
      <c r="H39" s="31"/>
      <c r="I39" s="31"/>
      <c r="J39" s="32"/>
      <c r="K39" s="38"/>
      <c r="L39" s="43"/>
      <c r="M39" s="44"/>
      <c r="N39" s="44"/>
      <c r="O39" s="44"/>
      <c r="P39" s="44"/>
      <c r="Q39" s="44"/>
      <c r="R39" s="44"/>
      <c r="S39" s="45"/>
      <c r="T39" s="105">
        <f>COUNTIF(C39:S39,"x")</f>
        <v>1</v>
      </c>
      <c r="U39" s="5">
        <f>Z39/SUM(Z$37:Z$39)</f>
        <v>0.6</v>
      </c>
      <c r="V39" s="96" t="s">
        <v>238</v>
      </c>
      <c r="W39" s="81">
        <f>1/Y37</f>
        <v>2</v>
      </c>
      <c r="X39" s="4">
        <f>1/Y38</f>
        <v>6</v>
      </c>
      <c r="Y39" s="82">
        <v>1</v>
      </c>
      <c r="Z39" s="108">
        <f>POWER(W39*X39*Y39,1/3)</f>
        <v>2.2894284851066637</v>
      </c>
      <c r="AA39" s="4"/>
      <c r="AB39" s="52"/>
      <c r="AC39" s="50"/>
      <c r="AD39" s="6"/>
    </row>
    <row r="40" spans="1:31" ht="27" thickTop="1">
      <c r="A40" s="50"/>
      <c r="B40" s="9"/>
      <c r="C40" s="10"/>
      <c r="D40" s="10"/>
      <c r="E40" s="10"/>
      <c r="F40" s="10"/>
      <c r="G40" s="10"/>
      <c r="H40" s="10"/>
      <c r="I40" s="10"/>
      <c r="J40" s="10"/>
      <c r="K40" s="11"/>
      <c r="L40" s="11"/>
      <c r="M40" s="10"/>
      <c r="N40" s="10"/>
      <c r="O40" s="10"/>
      <c r="P40" s="10"/>
      <c r="Q40" s="10"/>
      <c r="R40" s="10"/>
      <c r="S40" s="10"/>
      <c r="T40" s="51"/>
      <c r="U40" s="8" t="s">
        <v>171</v>
      </c>
      <c r="V40" s="61">
        <f>Z42/0.58</f>
        <v>0</v>
      </c>
      <c r="W40" s="110">
        <f>SUM(W37:W39)</f>
        <v>3.333333333333333</v>
      </c>
      <c r="X40" s="110">
        <f>SUM(X37:X39)</f>
        <v>10</v>
      </c>
      <c r="Y40" s="110">
        <f>SUM(Y37:Y39)</f>
        <v>1.6666666666666665</v>
      </c>
      <c r="Z40" s="7"/>
      <c r="AA40" s="57"/>
      <c r="AB40" s="52"/>
      <c r="AC40" s="50"/>
      <c r="AD40" s="6"/>
    </row>
    <row r="41" spans="1:31" ht="26.25">
      <c r="A41" s="50"/>
      <c r="B41" s="9"/>
      <c r="C41" s="10"/>
      <c r="D41" s="10"/>
      <c r="E41" s="10"/>
      <c r="F41" s="10"/>
      <c r="G41" s="10"/>
      <c r="H41" s="10"/>
      <c r="I41" s="10"/>
      <c r="J41" s="10"/>
      <c r="K41" s="11"/>
      <c r="L41" s="11"/>
      <c r="M41" s="10"/>
      <c r="N41" s="10"/>
      <c r="O41" s="10"/>
      <c r="P41" s="10"/>
      <c r="Q41" s="10"/>
      <c r="R41" s="10"/>
      <c r="S41" s="10"/>
      <c r="T41" s="51"/>
      <c r="U41" s="322" t="s">
        <v>225</v>
      </c>
      <c r="V41" s="322"/>
      <c r="W41" s="7">
        <f>W40*U37</f>
        <v>0.99999999999999989</v>
      </c>
      <c r="X41" s="7">
        <f>X40*U38</f>
        <v>1</v>
      </c>
      <c r="Y41" s="7">
        <f>Y40*U39</f>
        <v>0.99999999999999989</v>
      </c>
      <c r="Z41" s="107">
        <f>SUM(W41:Y41)</f>
        <v>3</v>
      </c>
      <c r="AA41" s="86"/>
      <c r="AB41" s="52"/>
      <c r="AC41" s="50"/>
      <c r="AD41" s="6"/>
    </row>
    <row r="42" spans="1:31" ht="26.25">
      <c r="A42" s="50"/>
      <c r="B42" s="9"/>
      <c r="C42" s="10"/>
      <c r="D42" s="10"/>
      <c r="E42" s="10"/>
      <c r="F42" s="10"/>
      <c r="G42" s="10"/>
      <c r="H42" s="10"/>
      <c r="I42" s="10"/>
      <c r="J42" s="10"/>
      <c r="K42" s="11"/>
      <c r="L42" s="11"/>
      <c r="M42" s="10"/>
      <c r="N42" s="10"/>
      <c r="O42" s="10"/>
      <c r="P42" s="10"/>
      <c r="Q42" s="10"/>
      <c r="R42" s="10"/>
      <c r="S42" s="10"/>
      <c r="T42" s="51"/>
      <c r="U42" s="322"/>
      <c r="V42" s="322"/>
      <c r="W42" s="7"/>
      <c r="X42" s="7"/>
      <c r="Y42" s="7"/>
      <c r="Z42" s="7">
        <f>(Z41-3)/2</f>
        <v>0</v>
      </c>
      <c r="AA42" s="86"/>
    </row>
    <row r="43" spans="1:31" ht="26.25">
      <c r="A43" s="50"/>
      <c r="B43" s="9"/>
      <c r="C43" s="10"/>
      <c r="D43" s="10"/>
      <c r="E43" s="10"/>
      <c r="F43" s="10"/>
      <c r="G43" s="10"/>
      <c r="H43" s="10"/>
      <c r="I43" s="10"/>
      <c r="J43" s="10"/>
      <c r="K43" s="11"/>
      <c r="L43" s="11"/>
      <c r="M43" s="10"/>
      <c r="N43" s="10"/>
      <c r="O43" s="10"/>
      <c r="P43" s="10"/>
      <c r="Q43" s="10"/>
      <c r="R43" s="10"/>
      <c r="S43" s="10"/>
      <c r="T43" s="50"/>
      <c r="U43" s="53"/>
      <c r="V43" s="50"/>
      <c r="W43" s="50"/>
      <c r="X43" s="50"/>
      <c r="Y43" s="52"/>
      <c r="Z43" s="50"/>
      <c r="AA43" s="50"/>
      <c r="AB43" s="52"/>
      <c r="AC43" s="50"/>
      <c r="AD43" s="7">
        <v>3</v>
      </c>
      <c r="AE43" s="7">
        <v>0.57999999999999996</v>
      </c>
    </row>
    <row r="44" spans="1:31" ht="16.350000000000001" customHeight="1">
      <c r="A44" s="50"/>
      <c r="B44" s="3"/>
      <c r="C44" s="313" t="s">
        <v>162</v>
      </c>
      <c r="D44" s="313"/>
      <c r="E44" s="313"/>
      <c r="F44" s="313"/>
      <c r="G44" s="313"/>
      <c r="H44" s="313"/>
      <c r="I44" s="313"/>
      <c r="J44" s="313"/>
      <c r="K44" s="313"/>
      <c r="L44" s="313"/>
      <c r="M44" s="313"/>
      <c r="N44" s="313"/>
      <c r="O44" s="313"/>
      <c r="P44" s="313"/>
      <c r="Q44" s="313"/>
      <c r="R44" s="313"/>
      <c r="S44" s="313"/>
      <c r="T44" s="105"/>
      <c r="U44" s="54"/>
      <c r="V44" s="50"/>
      <c r="W44" s="50"/>
      <c r="X44" s="50"/>
      <c r="Y44" s="50"/>
      <c r="Z44" s="50"/>
      <c r="AA44" s="50"/>
      <c r="AB44" s="4"/>
      <c r="AC44" s="52"/>
      <c r="AD44" s="50"/>
      <c r="AE44" s="6"/>
    </row>
    <row r="45" spans="1:31" ht="24" thickBot="1">
      <c r="A45" s="50"/>
      <c r="B45" s="26"/>
      <c r="C45" s="323" t="s">
        <v>170</v>
      </c>
      <c r="D45" s="324"/>
      <c r="E45" s="324"/>
      <c r="F45" s="324"/>
      <c r="G45" s="324"/>
      <c r="H45" s="324"/>
      <c r="I45" s="324"/>
      <c r="J45" s="325"/>
      <c r="K45" s="36" t="s">
        <v>163</v>
      </c>
      <c r="L45" s="326" t="s">
        <v>169</v>
      </c>
      <c r="M45" s="327"/>
      <c r="N45" s="327"/>
      <c r="O45" s="327"/>
      <c r="P45" s="327"/>
      <c r="Q45" s="327"/>
      <c r="R45" s="327"/>
      <c r="S45" s="328"/>
      <c r="T45" s="105"/>
      <c r="U45" s="50"/>
      <c r="V45" s="50"/>
      <c r="W45" s="50"/>
      <c r="X45" s="50"/>
      <c r="Y45" s="50"/>
      <c r="Z45" s="50"/>
      <c r="AA45" s="50"/>
      <c r="AB45" s="4"/>
      <c r="AC45" s="52"/>
      <c r="AD45" s="50"/>
      <c r="AE45" s="6"/>
    </row>
    <row r="46" spans="1:31" ht="33" thickTop="1" thickBot="1">
      <c r="A46" s="50"/>
      <c r="B46" s="49" t="s">
        <v>4</v>
      </c>
      <c r="C46" s="27" t="s">
        <v>167</v>
      </c>
      <c r="D46" s="28"/>
      <c r="E46" s="28" t="s">
        <v>164</v>
      </c>
      <c r="F46" s="28"/>
      <c r="G46" s="28" t="s">
        <v>165</v>
      </c>
      <c r="H46" s="28"/>
      <c r="I46" s="28" t="s">
        <v>166</v>
      </c>
      <c r="J46" s="29"/>
      <c r="K46" s="37" t="s">
        <v>168</v>
      </c>
      <c r="L46" s="40"/>
      <c r="M46" s="41" t="s">
        <v>166</v>
      </c>
      <c r="N46" s="41"/>
      <c r="O46" s="41" t="s">
        <v>165</v>
      </c>
      <c r="P46" s="41"/>
      <c r="Q46" s="41" t="s">
        <v>164</v>
      </c>
      <c r="R46" s="41"/>
      <c r="S46" s="42" t="s">
        <v>167</v>
      </c>
      <c r="T46" s="105"/>
      <c r="U46" s="94"/>
      <c r="V46" s="99" t="s">
        <v>4</v>
      </c>
      <c r="W46" s="97" t="s">
        <v>158</v>
      </c>
      <c r="X46" s="97" t="s">
        <v>254</v>
      </c>
      <c r="Y46" s="97" t="s">
        <v>243</v>
      </c>
      <c r="Z46" s="57"/>
      <c r="AA46" s="50"/>
      <c r="AB46" s="50"/>
      <c r="AC46" s="50"/>
      <c r="AD46" s="50"/>
    </row>
    <row r="47" spans="1:31" ht="33" thickTop="1" thickBot="1">
      <c r="A47" s="89" t="str">
        <f>IF(T47=0,"Marcar una 'x'",IF(T47&gt;1,"Sobran 'x'",""))</f>
        <v/>
      </c>
      <c r="B47" s="2" t="s">
        <v>255</v>
      </c>
      <c r="C47" s="30"/>
      <c r="D47" s="31"/>
      <c r="E47" s="31"/>
      <c r="F47" s="31"/>
      <c r="G47" s="31"/>
      <c r="H47" s="31"/>
      <c r="I47" s="31" t="s">
        <v>1</v>
      </c>
      <c r="J47" s="32"/>
      <c r="K47" s="38"/>
      <c r="L47" s="43"/>
      <c r="M47" s="44"/>
      <c r="N47" s="44"/>
      <c r="O47" s="44"/>
      <c r="P47" s="44"/>
      <c r="Q47" s="44"/>
      <c r="R47" s="44"/>
      <c r="S47" s="45"/>
      <c r="T47" s="105">
        <f>COUNTIF(C47:S47,"x")</f>
        <v>1</v>
      </c>
      <c r="U47" s="5">
        <f>Z47/SUM(Z$47:Z$49)</f>
        <v>0.16919987418632496</v>
      </c>
      <c r="V47" s="98" t="s">
        <v>158</v>
      </c>
      <c r="W47" s="81">
        <v>1</v>
      </c>
      <c r="X47" s="4">
        <f>IF( OR(C47="X",C47="x"),1/9,IF(OR(D47="x",D47="X"),1/8,IF(OR(E47="x",E47="X"),1/7,IF(OR(F47="x",F47="X"),1/6,IF(OR(G47="x",G47="X"),1/5,IF(OR(H47="x",H47="X"),1/4,IF(OR(I47="x",I47="X"),1/3,IF(OR(J47="x",J47="X"),1/2,IF(OR(K47="x",K47="X"),1,IF(OR(L47="x",L47="X"),2,IF(OR(M47="x",M47="X"),3,IF(OR(N47="x",N47="X"),4,IF(OR(O47="x",O47="X"),5,IF(OR(P47="x",P47="X"),6,IF(OR(Q47="x",Q47="X"),7,IF(OR(R47="x",R47="X"),8,IF(OR(S47="x",S47="X"),9,"???")))))))))))))))))</f>
        <v>0.33333333333333331</v>
      </c>
      <c r="Y47" s="82">
        <f>IF( OR(C48="X",C48="x"),1/9,IF(OR(D48="x",D48="X"),1/8,IF(OR(E48="x",E48="X"),1/7,IF(OR(F48="x",F48="X"),1/6,IF(OR(G48="x",G48="X"),1/5,IF(OR(H48="x",H48="X"),1/4,IF(OR(I48="x",I48="X"),1/3,IF(OR(J48="x",J48="X"),1/2,IF(OR(K48="x",K48="X"),1,IF(OR(L48="x",L48="X"),2,IF(OR(M48="x",M48="X"),3,IF(OR(N48="x",N48="X"),4,IF(OR(O48="x",O48="X"),5,IF(OR(P48="x",P48="X"),6,IF(OR(Q48="x",Q48="X"),7,IF(OR(R48="x",R48="X"),8,IF(OR(S48="x",S48="X"),9,"???")))))))))))))))))</f>
        <v>0.5</v>
      </c>
      <c r="Z47" s="108">
        <f>POWER(W47*X47*Y47,1/3)</f>
        <v>0.55032120814910446</v>
      </c>
      <c r="AA47" s="111">
        <v>1</v>
      </c>
      <c r="AB47" s="50"/>
      <c r="AC47" s="50"/>
      <c r="AD47" s="50"/>
    </row>
    <row r="48" spans="1:31" ht="33" thickTop="1" thickBot="1">
      <c r="A48" s="89" t="str">
        <f>IF(T48=0,"Marcar una 'x'",IF(T48&gt;1,"Sobran 'x'",""))</f>
        <v/>
      </c>
      <c r="B48" s="1" t="s">
        <v>241</v>
      </c>
      <c r="C48" s="33"/>
      <c r="D48" s="34"/>
      <c r="E48" s="34"/>
      <c r="F48" s="34"/>
      <c r="G48" s="34"/>
      <c r="H48" s="34"/>
      <c r="I48" s="34"/>
      <c r="J48" s="35" t="s">
        <v>1</v>
      </c>
      <c r="K48" s="39"/>
      <c r="L48" s="46"/>
      <c r="M48" s="47"/>
      <c r="N48" s="47"/>
      <c r="O48" s="47"/>
      <c r="P48" s="47"/>
      <c r="Q48" s="47"/>
      <c r="R48" s="47"/>
      <c r="S48" s="48"/>
      <c r="T48" s="105">
        <f>COUNTIF(C48:S48,"x")</f>
        <v>1</v>
      </c>
      <c r="U48" s="5">
        <f>Z48/SUM(Z$47:Z$49)</f>
        <v>0.44342911417503911</v>
      </c>
      <c r="V48" s="96" t="s">
        <v>254</v>
      </c>
      <c r="W48" s="81">
        <f>1/X47</f>
        <v>3</v>
      </c>
      <c r="X48" s="4">
        <v>1</v>
      </c>
      <c r="Y48" s="82">
        <f>IF( OR(C49="X",C49="x"),1/9,IF(OR(D49="x",D49="X"),1/8,IF(OR(E49="x",E49="X"),1/7,IF(OR(F49="x",F49="X"),1/6,IF(OR(G49="x",G49="X"),1/5,IF(OR(H49="x",H49="X"),1/4,IF(OR(I49="x",I49="X"),1/3,IF(OR(J49="x",J49="X"),1/2,IF(OR(K49="x",K49="X"),1,IF(OR(L49="x",L49="X"),2,IF(OR(M49="x",M49="X"),3,IF(OR(N49="x",N49="X"),4,IF(OR(O49="x",O49="X"),5,IF(OR(P49="x",P49="X"),6,IF(OR(Q49="x",Q49="X"),7,IF(OR(R49="x",R49="X"),8,IF(OR(S49="x",S49="X"),9,"???")))))))))))))))))</f>
        <v>1</v>
      </c>
      <c r="Z48" s="108">
        <f>POWER(W48*X48*Y48,1/3)</f>
        <v>1.4422495703074083</v>
      </c>
      <c r="AA48" s="7"/>
      <c r="AB48" s="51"/>
      <c r="AC48" s="50"/>
      <c r="AD48" s="7"/>
      <c r="AE48" s="7" t="s">
        <v>10</v>
      </c>
    </row>
    <row r="49" spans="1:32" ht="33" thickTop="1" thickBot="1">
      <c r="A49" s="89" t="str">
        <f>IF(T49=0,"Marcar una 'x'",IF(T49&gt;1,"Sobran 'x'",""))</f>
        <v/>
      </c>
      <c r="B49" s="1" t="s">
        <v>256</v>
      </c>
      <c r="C49" s="33"/>
      <c r="D49" s="34"/>
      <c r="E49" s="34"/>
      <c r="F49" s="34"/>
      <c r="G49" s="34"/>
      <c r="H49" s="34"/>
      <c r="I49" s="34"/>
      <c r="J49" s="35"/>
      <c r="K49" s="39" t="s">
        <v>1</v>
      </c>
      <c r="L49" s="46"/>
      <c r="M49" s="47"/>
      <c r="N49" s="47"/>
      <c r="O49" s="47"/>
      <c r="P49" s="47"/>
      <c r="Q49" s="47"/>
      <c r="R49" s="47"/>
      <c r="S49" s="48"/>
      <c r="T49" s="105">
        <f>COUNTIF(C49:S49,"x")</f>
        <v>1</v>
      </c>
      <c r="U49" s="5">
        <f>Z49/SUM(Z$47:Z$49)</f>
        <v>0.38737101163863602</v>
      </c>
      <c r="V49" s="96" t="s">
        <v>242</v>
      </c>
      <c r="W49" s="81">
        <f>1/Y47</f>
        <v>2</v>
      </c>
      <c r="X49" s="4">
        <f>1/Y48</f>
        <v>1</v>
      </c>
      <c r="Y49" s="82">
        <v>1</v>
      </c>
      <c r="Z49" s="108">
        <f>POWER(W49*X49*Y49,1/3)</f>
        <v>1.2599210498948732</v>
      </c>
      <c r="AA49" s="7"/>
      <c r="AB49" s="50"/>
      <c r="AC49" s="50"/>
      <c r="AD49" s="7" t="s">
        <v>11</v>
      </c>
      <c r="AE49" s="7" t="s">
        <v>12</v>
      </c>
    </row>
    <row r="50" spans="1:32" ht="27" thickTop="1">
      <c r="A50" s="50"/>
      <c r="B50" s="9"/>
      <c r="C50" s="10"/>
      <c r="D50" s="10"/>
      <c r="E50" s="10"/>
      <c r="F50" s="10"/>
      <c r="G50" s="10"/>
      <c r="H50" s="10"/>
      <c r="I50" s="10"/>
      <c r="J50" s="10"/>
      <c r="K50" s="11"/>
      <c r="L50" s="11"/>
      <c r="M50" s="10"/>
      <c r="N50" s="10"/>
      <c r="O50" s="10"/>
      <c r="P50" s="10"/>
      <c r="Q50" s="10"/>
      <c r="R50" s="10"/>
      <c r="S50" s="10"/>
      <c r="T50" s="50"/>
      <c r="U50" s="8" t="s">
        <v>171</v>
      </c>
      <c r="V50" s="61">
        <f>Z52/0.58</f>
        <v>1.5771299387612459E-2</v>
      </c>
      <c r="W50" s="110">
        <f>SUM(W47:W49)</f>
        <v>6</v>
      </c>
      <c r="X50" s="110">
        <f>SUM(X47:X49)</f>
        <v>2.333333333333333</v>
      </c>
      <c r="Y50" s="110">
        <f>SUM(Y47:Y49)</f>
        <v>2.5</v>
      </c>
      <c r="Z50" s="7"/>
      <c r="AA50" s="109"/>
      <c r="AB50" s="50"/>
      <c r="AC50" s="50"/>
      <c r="AD50" s="7">
        <v>1</v>
      </c>
      <c r="AE50" s="7">
        <v>0</v>
      </c>
    </row>
    <row r="51" spans="1:32" ht="32.1" customHeight="1">
      <c r="A51" s="50"/>
      <c r="B51" s="9"/>
      <c r="C51" s="10"/>
      <c r="D51" s="10"/>
      <c r="E51" s="10"/>
      <c r="F51" s="10"/>
      <c r="G51" s="10"/>
      <c r="H51" s="10"/>
      <c r="I51" s="10"/>
      <c r="J51" s="10"/>
      <c r="K51" s="11"/>
      <c r="L51" s="11"/>
      <c r="M51" s="10"/>
      <c r="N51" s="10"/>
      <c r="O51" s="10"/>
      <c r="P51" s="10"/>
      <c r="Q51" s="10"/>
      <c r="R51" s="10"/>
      <c r="S51" s="10"/>
      <c r="T51" s="50"/>
      <c r="U51" s="322" t="s">
        <v>225</v>
      </c>
      <c r="V51" s="322"/>
      <c r="W51" s="7">
        <f>W50*U47</f>
        <v>1.0151992451179497</v>
      </c>
      <c r="X51" s="7">
        <f>X50*U48</f>
        <v>1.0346679330750912</v>
      </c>
      <c r="Y51" s="7">
        <f>Y50*U49</f>
        <v>0.96842752909659002</v>
      </c>
      <c r="Z51" s="107">
        <f>SUM(W51:Y51)</f>
        <v>3.0182947072896305</v>
      </c>
      <c r="AA51" s="108"/>
      <c r="AB51" s="50"/>
      <c r="AC51" s="50"/>
      <c r="AD51" s="7">
        <v>2</v>
      </c>
      <c r="AE51" s="7">
        <v>0</v>
      </c>
    </row>
    <row r="52" spans="1:32" ht="26.25">
      <c r="A52" s="50"/>
      <c r="B52" s="9"/>
      <c r="C52" s="10"/>
      <c r="D52" s="10"/>
      <c r="E52" s="10"/>
      <c r="F52" s="10"/>
      <c r="G52" s="10"/>
      <c r="H52" s="10"/>
      <c r="I52" s="10"/>
      <c r="J52" s="10"/>
      <c r="K52" s="11"/>
      <c r="L52" s="11"/>
      <c r="M52" s="10"/>
      <c r="N52" s="10"/>
      <c r="O52" s="10"/>
      <c r="P52" s="10"/>
      <c r="Q52" s="10"/>
      <c r="R52" s="10"/>
      <c r="S52" s="10"/>
      <c r="T52" s="50"/>
      <c r="U52" s="322"/>
      <c r="V52" s="322"/>
      <c r="W52" s="7"/>
      <c r="X52" s="7"/>
      <c r="Y52" s="7"/>
      <c r="Z52" s="7">
        <f>(Z51-3)/2</f>
        <v>9.1473536448152259E-3</v>
      </c>
      <c r="AA52" s="108"/>
      <c r="AB52" s="50"/>
      <c r="AC52" s="52"/>
      <c r="AD52" s="50"/>
      <c r="AE52" s="7">
        <v>3</v>
      </c>
      <c r="AF52" s="7">
        <v>0.57999999999999996</v>
      </c>
    </row>
    <row r="53" spans="1:32" s="50" customFormat="1" ht="16.350000000000001" customHeight="1">
      <c r="B53" s="87"/>
      <c r="C53" s="313" t="s">
        <v>162</v>
      </c>
      <c r="D53" s="313"/>
      <c r="E53" s="313"/>
      <c r="F53" s="313"/>
      <c r="G53" s="313"/>
      <c r="H53" s="313"/>
      <c r="I53" s="313"/>
      <c r="J53" s="313"/>
      <c r="K53" s="313"/>
      <c r="L53" s="313"/>
      <c r="M53" s="313"/>
      <c r="N53" s="313"/>
      <c r="O53" s="313"/>
      <c r="P53" s="313"/>
      <c r="Q53" s="313"/>
      <c r="R53" s="313"/>
      <c r="S53" s="313"/>
      <c r="T53" s="51"/>
      <c r="U53" s="54"/>
      <c r="AB53" s="4"/>
      <c r="AC53" s="52"/>
      <c r="AE53" s="58"/>
    </row>
    <row r="54" spans="1:32" s="50" customFormat="1" ht="24" thickBot="1">
      <c r="B54" s="88"/>
      <c r="C54" s="323" t="s">
        <v>170</v>
      </c>
      <c r="D54" s="324"/>
      <c r="E54" s="324"/>
      <c r="F54" s="324"/>
      <c r="G54" s="324"/>
      <c r="H54" s="324"/>
      <c r="I54" s="324"/>
      <c r="J54" s="325"/>
      <c r="K54" s="36" t="s">
        <v>163</v>
      </c>
      <c r="L54" s="326" t="s">
        <v>169</v>
      </c>
      <c r="M54" s="327"/>
      <c r="N54" s="327"/>
      <c r="O54" s="327"/>
      <c r="P54" s="327"/>
      <c r="Q54" s="327"/>
      <c r="R54" s="327"/>
      <c r="S54" s="328"/>
      <c r="T54" s="51"/>
      <c r="AB54" s="4"/>
      <c r="AC54" s="52"/>
      <c r="AE54" s="58"/>
    </row>
    <row r="55" spans="1:32" s="50" customFormat="1" ht="48" thickTop="1" thickBot="1">
      <c r="B55" s="90" t="s">
        <v>220</v>
      </c>
      <c r="C55" s="27" t="s">
        <v>167</v>
      </c>
      <c r="D55" s="28"/>
      <c r="E55" s="28" t="s">
        <v>164</v>
      </c>
      <c r="F55" s="28"/>
      <c r="G55" s="28" t="s">
        <v>165</v>
      </c>
      <c r="H55" s="28"/>
      <c r="I55" s="28" t="s">
        <v>166</v>
      </c>
      <c r="J55" s="29"/>
      <c r="K55" s="37" t="s">
        <v>168</v>
      </c>
      <c r="L55" s="40"/>
      <c r="M55" s="41" t="s">
        <v>166</v>
      </c>
      <c r="N55" s="41"/>
      <c r="O55" s="41" t="s">
        <v>165</v>
      </c>
      <c r="P55" s="41"/>
      <c r="Q55" s="41" t="s">
        <v>164</v>
      </c>
      <c r="R55" s="41"/>
      <c r="S55" s="42" t="s">
        <v>167</v>
      </c>
      <c r="T55" s="51"/>
      <c r="U55" s="94"/>
      <c r="V55" s="99" t="s">
        <v>220</v>
      </c>
      <c r="W55" s="97" t="s">
        <v>229</v>
      </c>
      <c r="X55" s="97" t="s">
        <v>209</v>
      </c>
      <c r="Y55" s="97" t="s">
        <v>226</v>
      </c>
      <c r="Z55" s="97" t="s">
        <v>227</v>
      </c>
      <c r="AA55" s="57"/>
    </row>
    <row r="56" spans="1:32" s="50" customFormat="1" ht="48.75" thickTop="1" thickBot="1">
      <c r="A56" s="89" t="str">
        <f t="shared" ref="A56:A61" si="2">IF(T56=0,"Marcar una 'x'",IF(T56&gt;1,"Sobran 'x'",""))</f>
        <v/>
      </c>
      <c r="B56" s="2" t="s">
        <v>230</v>
      </c>
      <c r="C56" s="30"/>
      <c r="D56" s="31"/>
      <c r="E56" s="31"/>
      <c r="F56" s="31"/>
      <c r="G56" s="31"/>
      <c r="H56" s="31"/>
      <c r="I56" s="31" t="s">
        <v>1</v>
      </c>
      <c r="J56" s="32"/>
      <c r="K56" s="38"/>
      <c r="L56" s="43"/>
      <c r="M56" s="44"/>
      <c r="N56" s="44"/>
      <c r="O56" s="44"/>
      <c r="P56" s="44"/>
      <c r="Q56" s="44"/>
      <c r="R56" s="44"/>
      <c r="S56" s="45"/>
      <c r="T56" s="105">
        <f t="shared" ref="T56:T61" si="3">COUNTIF(C56:S56,"x")</f>
        <v>1</v>
      </c>
      <c r="U56" s="5">
        <f>AA56/SUM(AA$56:AA$59)</f>
        <v>0.16458440786731007</v>
      </c>
      <c r="V56" s="98" t="s">
        <v>229</v>
      </c>
      <c r="W56" s="81">
        <v>1</v>
      </c>
      <c r="X56" s="4">
        <f>IF( OR(C56="X",C56="x"),1/9,IF(OR(D56="x",D56="X"),1/8,IF(OR(E56="x",E56="X"),1/7,IF(OR(F56="x",F56="X"),1/6,IF(OR(G56="x",G56="X"),1/5,IF(OR(H56="x",H56="X"),1/4,IF(OR(I56="x",I56="X"),1/3,IF(OR(J56="x",J56="X"),1/2,IF(OR(K56="x",K56="X"),1,IF(OR(L56="x",L56="X"),2,IF(OR(M56="x",M56="X"),3,IF(OR(N56="x",N56="X"),4,IF(OR(O56="x",O56="X"),5,IF(OR(P56="x",P56="X"),6,IF(OR(Q56="x",Q56="X"),7,IF(OR(R56="x",R56="X"),8,IF(OR(S56="x",S56="X"),9,"???")))))))))))))))))</f>
        <v>0.33333333333333331</v>
      </c>
      <c r="Y56" s="4">
        <f>IF( OR(C57="X",C57="x"),1/9,IF(OR(D57="x",D57="X"),1/8,IF(OR(E57="x",E57="X"),1/7,IF(OR(F57="x",F57="X"),1/6,IF(OR(G57="x",G57="X"),1/5,IF(OR(H57="x",H57="X"),1/4,IF(OR(I57="x",I57="X"),1/3,IF(OR(J57="x",J57="X"),1/2,IF(OR(K57="x",K57="X"),1,IF(OR(L57="x",L57="X"),2,IF(OR(M57="x",M57="X"),3,IF(OR(N57="x",N57="X"),4,IF(OR(O57="x",O57="X"),5,IF(OR(P57="x",P57="X"),6,IF(OR(Q57="x",Q57="X"),7,IF(OR(R57="x",R57="X"),8,IF(OR(S57="x",S57="X"),9,"???")))))))))))))))))</f>
        <v>1</v>
      </c>
      <c r="Z56" s="82">
        <f>IF( OR(C58="X",C58="x"),1/9,IF(OR(D58="x",D58="X"),1/8,IF(OR(E58="x",E58="X"),1/7,IF(OR(F58="x",F58="X"),1/6,IF(OR(G58="x",G58="X"),1/5,IF(OR(H58="x",H58="X"),1/4,IF(OR(I58="x",I58="X"),1/3,IF(OR(J58="x",J58="X"),1/2,IF(OR(K58="x",K58="X"),1,IF(OR(L58="x",L58="X"),2,IF(OR(M58="x",M58="X"),3,IF(OR(N58="x",N58="X"),4,IF(OR(O58="x",O58="X"),5,IF(OR(P58="x",P58="X"),6,IF(OR(Q58="x",Q58="X"),7,IF(OR(R58="x",R58="X"),8,IF(OR(S58="x",S58="X"),9,"???")))))))))))))))))</f>
        <v>1</v>
      </c>
      <c r="AA56" s="108">
        <f>POWER(W56*X56*Y56*Z56,1/4)</f>
        <v>0.75983568565159254</v>
      </c>
      <c r="AB56" s="7"/>
      <c r="AC56" s="114" t="s">
        <v>236</v>
      </c>
      <c r="AD56" s="7"/>
    </row>
    <row r="57" spans="1:32" s="50" customFormat="1" ht="46.5" thickTop="1" thickBot="1">
      <c r="A57" s="89" t="str">
        <f t="shared" si="2"/>
        <v/>
      </c>
      <c r="B57" s="1" t="s">
        <v>231</v>
      </c>
      <c r="C57" s="33"/>
      <c r="D57" s="34"/>
      <c r="E57" s="34"/>
      <c r="F57" s="34"/>
      <c r="G57" s="34"/>
      <c r="H57" s="34"/>
      <c r="I57" s="34"/>
      <c r="J57" s="35"/>
      <c r="K57" s="39" t="s">
        <v>1</v>
      </c>
      <c r="L57" s="46"/>
      <c r="M57" s="47"/>
      <c r="N57" s="47"/>
      <c r="O57" s="47"/>
      <c r="P57" s="47"/>
      <c r="Q57" s="47"/>
      <c r="R57" s="47"/>
      <c r="S57" s="48"/>
      <c r="T57" s="105">
        <f t="shared" si="3"/>
        <v>1</v>
      </c>
      <c r="U57" s="5">
        <f>AA57/SUM(AA$56:AA$59)</f>
        <v>0.49375322360193025</v>
      </c>
      <c r="V57" s="96" t="s">
        <v>209</v>
      </c>
      <c r="W57" s="81">
        <f>1/X56</f>
        <v>3</v>
      </c>
      <c r="X57" s="4">
        <v>1</v>
      </c>
      <c r="Y57" s="4">
        <f>IF( OR(C59="X",C59="x"),1/9,IF(OR(D59="x",D59="X"),1/8,IF(OR(E59="x",E59="X"),1/7,IF(OR(F59="x",F59="X"),1/6,IF(OR(G59="x",G59="X"),1/5,IF(OR(H59="x",H59="X"),1/4,IF(OR(I59="x",I59="X"),1/3,IF(OR(J59="x",J59="X"),1/2,IF(OR(K59="x",K59="X"),1,IF(OR(L59="x",L59="X"),2,IF(OR(M59="x",M59="X"),3,IF(OR(N59="x",N59="X"),4,IF(OR(O59="x",O59="X"),5,IF(OR(P59="x",P59="X"),6,IF(OR(Q59="x",Q59="X"),7,IF(OR(R59="x",R59="X"),8,IF(OR(S59="x",S59="X"),9,"???")))))))))))))))))</f>
        <v>3</v>
      </c>
      <c r="Z57" s="82">
        <f>IF( OR(C60="X",C60="x"),1/9,IF(OR(D60="x",D60="X"),1/8,IF(OR(E60="x",E60="X"),1/7,IF(OR(F60="x",F60="X"),1/6,IF(OR(G60="x",G60="X"),1/5,IF(OR(H60="x",H60="X"),1/4,IF(OR(I60="x",I60="X"),1/3,IF(OR(J60="x",J60="X"),1/2,IF(OR(K60="x",K60="X"),1,IF(OR(L60="x",L60="X"),2,IF(OR(M60="x",M60="X"),3,IF(OR(N60="x",N60="X"),4,IF(OR(O60="x",O60="X"),5,IF(OR(P60="x",P60="X"),6,IF(OR(Q60="x",Q60="X"),7,IF(OR(R60="x",R60="X"),8,IF(OR(S60="x",S60="X"),9,"???")))))))))))))))))</f>
        <v>3</v>
      </c>
      <c r="AA57" s="108">
        <f>POWER(W57*X57*Y57*Z57,1/4)</f>
        <v>2.2795070569547775</v>
      </c>
      <c r="AB57" s="7"/>
      <c r="AC57" s="115">
        <v>1</v>
      </c>
      <c r="AD57" s="7"/>
    </row>
    <row r="58" spans="1:32" s="50" customFormat="1" ht="50.1" customHeight="1" thickTop="1" thickBot="1">
      <c r="A58" s="89" t="str">
        <f t="shared" si="2"/>
        <v/>
      </c>
      <c r="B58" s="1" t="s">
        <v>232</v>
      </c>
      <c r="C58" s="33"/>
      <c r="D58" s="34"/>
      <c r="E58" s="34"/>
      <c r="F58" s="34"/>
      <c r="G58" s="34"/>
      <c r="H58" s="34"/>
      <c r="I58" s="34"/>
      <c r="J58" s="35"/>
      <c r="K58" s="39" t="s">
        <v>1</v>
      </c>
      <c r="L58" s="46"/>
      <c r="M58" s="47"/>
      <c r="N58" s="47"/>
      <c r="O58" s="47"/>
      <c r="P58" s="47"/>
      <c r="Q58" s="47"/>
      <c r="R58" s="47"/>
      <c r="S58" s="48"/>
      <c r="T58" s="105">
        <f t="shared" si="3"/>
        <v>1</v>
      </c>
      <c r="U58" s="5">
        <f>AA58/SUM(AA$56:AA$59)</f>
        <v>0.21660526213134054</v>
      </c>
      <c r="V58" s="96" t="s">
        <v>226</v>
      </c>
      <c r="W58" s="81">
        <f>1/Y56</f>
        <v>1</v>
      </c>
      <c r="X58" s="4">
        <f>1/Y57</f>
        <v>0.33333333333333331</v>
      </c>
      <c r="Y58" s="4">
        <v>1</v>
      </c>
      <c r="Z58" s="82">
        <f>IF( OR(C61="X",C61="x"),1/9,IF(OR(D61="x",D61="X"),1/8,IF(OR(E61="x",E61="X"),1/7,IF(OR(F61="x",F61="X"),1/6,IF(OR(G61="x",G61="X"),1/5,IF(OR(H61="x",H61="X"),1/4,IF(OR(I61="x",I61="X"),1/3,IF(OR(J61="x",J61="X"),1/2,IF(OR(K61="x",K61="X"),1,IF(OR(L61="x",L61="X"),2,IF(OR(M61="x",M61="X"),3,IF(OR(N61="x",N61="X"),4,IF(OR(O61="x",O61="X"),5,IF(OR(P61="x",P61="X"),6,IF(OR(Q61="x",Q61="X"),7,IF(OR(R61="x",R61="X"),8,IF(OR(S61="x",S61="X"),9,"???")))))))))))))))))</f>
        <v>3</v>
      </c>
      <c r="AA58" s="108">
        <f>POWER(W58*X58*Y58*Z58,1/4)</f>
        <v>1</v>
      </c>
      <c r="AB58" s="7"/>
      <c r="AC58" s="7"/>
      <c r="AD58" s="7"/>
    </row>
    <row r="59" spans="1:32" s="50" customFormat="1" ht="50.1" customHeight="1" thickTop="1">
      <c r="A59" s="89" t="str">
        <f t="shared" si="2"/>
        <v/>
      </c>
      <c r="B59" s="1" t="s">
        <v>234</v>
      </c>
      <c r="C59" s="33"/>
      <c r="D59" s="34"/>
      <c r="E59" s="34"/>
      <c r="F59" s="34"/>
      <c r="G59" s="34"/>
      <c r="H59" s="34"/>
      <c r="I59" s="34"/>
      <c r="J59" s="35"/>
      <c r="K59" s="39"/>
      <c r="L59" s="46"/>
      <c r="M59" s="47" t="s">
        <v>1</v>
      </c>
      <c r="N59" s="47"/>
      <c r="O59" s="47"/>
      <c r="P59" s="47"/>
      <c r="Q59" s="47"/>
      <c r="R59" s="47"/>
      <c r="S59" s="48"/>
      <c r="T59" s="105">
        <f t="shared" si="3"/>
        <v>1</v>
      </c>
      <c r="U59" s="5">
        <f>AA59/SUM(AA$56:AA$59)</f>
        <v>0.12505710639941892</v>
      </c>
      <c r="V59" s="59" t="s">
        <v>227</v>
      </c>
      <c r="W59" s="81">
        <f>1/Z56</f>
        <v>1</v>
      </c>
      <c r="X59" s="4">
        <f>1/Z57</f>
        <v>0.33333333333333331</v>
      </c>
      <c r="Y59" s="4">
        <f>1/Z58</f>
        <v>0.33333333333333331</v>
      </c>
      <c r="Z59" s="82">
        <v>1</v>
      </c>
      <c r="AA59" s="108">
        <f>POWER(W59*X59*Y59*Z59,1/4)</f>
        <v>0.57735026918962573</v>
      </c>
      <c r="AB59" s="7"/>
      <c r="AC59" s="7"/>
      <c r="AD59" s="7"/>
    </row>
    <row r="60" spans="1:32" s="50" customFormat="1" ht="50.1" customHeight="1">
      <c r="A60" s="89" t="str">
        <f t="shared" si="2"/>
        <v/>
      </c>
      <c r="B60" s="1" t="s">
        <v>233</v>
      </c>
      <c r="C60" s="33"/>
      <c r="D60" s="34"/>
      <c r="E60" s="34"/>
      <c r="F60" s="34"/>
      <c r="G60" s="34"/>
      <c r="H60" s="34"/>
      <c r="I60" s="34"/>
      <c r="J60" s="35"/>
      <c r="K60" s="39"/>
      <c r="L60" s="46"/>
      <c r="M60" s="47" t="s">
        <v>1</v>
      </c>
      <c r="N60" s="47"/>
      <c r="O60" s="47"/>
      <c r="P60" s="47"/>
      <c r="Q60" s="47"/>
      <c r="R60" s="47"/>
      <c r="S60" s="48"/>
      <c r="T60" s="105">
        <f t="shared" si="3"/>
        <v>1</v>
      </c>
      <c r="U60" s="8" t="s">
        <v>171</v>
      </c>
      <c r="V60" s="61">
        <f>AA62/0.9</f>
        <v>4.8406596408724231E-2</v>
      </c>
      <c r="W60" s="110">
        <f>SUM(W56:W59)</f>
        <v>6</v>
      </c>
      <c r="X60" s="110">
        <f>SUM(X56:X59)</f>
        <v>1.9999999999999998</v>
      </c>
      <c r="Y60" s="110">
        <f>SUM(Y56:Y59)</f>
        <v>5.333333333333333</v>
      </c>
      <c r="Z60" s="110">
        <f>SUM(Z56:Z59)</f>
        <v>8</v>
      </c>
      <c r="AA60" s="7"/>
      <c r="AB60" s="109"/>
      <c r="AC60" s="7"/>
      <c r="AD60" s="7"/>
    </row>
    <row r="61" spans="1:32" s="50" customFormat="1" ht="31.5">
      <c r="A61" s="89" t="str">
        <f t="shared" si="2"/>
        <v/>
      </c>
      <c r="B61" s="1" t="s">
        <v>235</v>
      </c>
      <c r="C61" s="33"/>
      <c r="D61" s="34"/>
      <c r="E61" s="34"/>
      <c r="F61" s="34"/>
      <c r="G61" s="34"/>
      <c r="H61" s="34"/>
      <c r="I61" s="34"/>
      <c r="J61" s="35"/>
      <c r="K61" s="39"/>
      <c r="L61" s="46"/>
      <c r="M61" s="47" t="s">
        <v>1</v>
      </c>
      <c r="N61" s="47"/>
      <c r="O61" s="47"/>
      <c r="P61" s="47"/>
      <c r="Q61" s="47"/>
      <c r="R61" s="47"/>
      <c r="S61" s="48"/>
      <c r="T61" s="105">
        <f t="shared" si="3"/>
        <v>1</v>
      </c>
      <c r="U61" s="322" t="s">
        <v>225</v>
      </c>
      <c r="V61" s="322"/>
      <c r="W61" s="7">
        <f>W60*U56</f>
        <v>0.98750644720386038</v>
      </c>
      <c r="X61" s="7">
        <f>X60*U57</f>
        <v>0.98750644720386038</v>
      </c>
      <c r="Y61" s="7">
        <f>Y60*U58</f>
        <v>1.1552280647004829</v>
      </c>
      <c r="Z61" s="7">
        <f>Z60*U59</f>
        <v>1.0004568511953513</v>
      </c>
      <c r="AA61" s="107">
        <f>SUM(W61:Z61)</f>
        <v>4.1306978103035554</v>
      </c>
      <c r="AB61" s="108"/>
      <c r="AC61" s="7"/>
      <c r="AD61" s="107"/>
    </row>
    <row r="62" spans="1:32">
      <c r="U62" s="322"/>
      <c r="V62" s="322"/>
      <c r="W62" s="7"/>
      <c r="X62" s="7"/>
      <c r="Y62" s="7"/>
      <c r="Z62" s="7"/>
      <c r="AA62" s="7">
        <f>(AA61-4)/3</f>
        <v>4.3565936767851809E-2</v>
      </c>
      <c r="AB62" s="108"/>
      <c r="AC62" s="7"/>
      <c r="AD62" s="7"/>
      <c r="AE62" s="12"/>
    </row>
    <row r="63" spans="1:32">
      <c r="U63" s="12"/>
      <c r="V63" s="12"/>
      <c r="W63" s="12"/>
      <c r="X63" s="12"/>
      <c r="Y63" s="12"/>
      <c r="Z63" s="12"/>
      <c r="AA63" s="50"/>
      <c r="AB63" s="50"/>
      <c r="AC63" s="12"/>
      <c r="AD63" s="12"/>
    </row>
    <row r="64" spans="1:32">
      <c r="AA64" s="50"/>
      <c r="AB64" s="12"/>
      <c r="AC64" s="12"/>
      <c r="AD64" s="12"/>
    </row>
    <row r="65" spans="27:28">
      <c r="AA65" s="50"/>
      <c r="AB65" s="12"/>
    </row>
    <row r="66" spans="27:28">
      <c r="AA66" s="12"/>
    </row>
    <row r="67" spans="27:28">
      <c r="AA67" s="12"/>
    </row>
  </sheetData>
  <sheetProtection selectLockedCells="1"/>
  <mergeCells count="16">
    <mergeCell ref="C20:S20"/>
    <mergeCell ref="C34:S34"/>
    <mergeCell ref="C44:S44"/>
    <mergeCell ref="L21:S21"/>
    <mergeCell ref="C21:J21"/>
    <mergeCell ref="C35:J35"/>
    <mergeCell ref="L35:S35"/>
    <mergeCell ref="U61:V62"/>
    <mergeCell ref="U29:V30"/>
    <mergeCell ref="U51:V52"/>
    <mergeCell ref="C53:S53"/>
    <mergeCell ref="C54:J54"/>
    <mergeCell ref="L54:S54"/>
    <mergeCell ref="C45:J45"/>
    <mergeCell ref="L45:S45"/>
    <mergeCell ref="U41:V42"/>
  </mergeCells>
  <conditionalFormatting sqref="U37:U39">
    <cfRule type="dataBar" priority="17">
      <dataBar>
        <cfvo type="num" val="0"/>
        <cfvo type="num" val="1"/>
        <color theme="9"/>
      </dataBar>
      <extLst>
        <ext xmlns:x14="http://schemas.microsoft.com/office/spreadsheetml/2009/9/main" uri="{B025F937-C7B1-47D3-B67F-A62EFF666E3E}">
          <x14:id>{A2DAE918-B477-DF4C-821E-513895FA89F2}</x14:id>
        </ext>
      </extLst>
    </cfRule>
  </conditionalFormatting>
  <conditionalFormatting sqref="U47:U49">
    <cfRule type="dataBar" priority="14">
      <dataBar>
        <cfvo type="num" val="0"/>
        <cfvo type="num" val="1"/>
        <color theme="9"/>
      </dataBar>
      <extLst>
        <ext xmlns:x14="http://schemas.microsoft.com/office/spreadsheetml/2009/9/main" uri="{B025F937-C7B1-47D3-B67F-A62EFF666E3E}">
          <x14:id>{7E1440C7-F615-3246-AE81-AD262B0E732D}</x14:id>
        </ext>
      </extLst>
    </cfRule>
  </conditionalFormatting>
  <conditionalFormatting sqref="U23:U27">
    <cfRule type="dataBar" priority="13">
      <dataBar>
        <cfvo type="num" val="0"/>
        <cfvo type="num" val="1"/>
        <color theme="9"/>
      </dataBar>
      <extLst>
        <ext xmlns:x14="http://schemas.microsoft.com/office/spreadsheetml/2009/9/main" uri="{B025F937-C7B1-47D3-B67F-A62EFF666E3E}">
          <x14:id>{58B2F785-4E37-3449-80F0-D6297943C204}</x14:id>
        </ext>
      </extLst>
    </cfRule>
  </conditionalFormatting>
  <conditionalFormatting sqref="V28">
    <cfRule type="cellIs" dxfId="28" priority="7" operator="greaterThan">
      <formula>0.1</formula>
    </cfRule>
  </conditionalFormatting>
  <conditionalFormatting sqref="V50">
    <cfRule type="cellIs" dxfId="27" priority="6" operator="greaterThan">
      <formula>0.1</formula>
    </cfRule>
  </conditionalFormatting>
  <conditionalFormatting sqref="U56:U59">
    <cfRule type="dataBar" priority="5">
      <dataBar>
        <cfvo type="num" val="0"/>
        <cfvo type="num" val="1"/>
        <color theme="9"/>
      </dataBar>
      <extLst>
        <ext xmlns:x14="http://schemas.microsoft.com/office/spreadsheetml/2009/9/main" uri="{B025F937-C7B1-47D3-B67F-A62EFF666E3E}">
          <x14:id>{28964DDD-0081-3441-9A61-DA5E9FE95FB4}</x14:id>
        </ext>
      </extLst>
    </cfRule>
  </conditionalFormatting>
  <conditionalFormatting sqref="V60">
    <cfRule type="cellIs" dxfId="26" priority="4" operator="greaterThan">
      <formula>0.1</formula>
    </cfRule>
  </conditionalFormatting>
  <conditionalFormatting sqref="V40">
    <cfRule type="cellIs" dxfId="25" priority="1" operator="greaterThan">
      <formula>0.1</formula>
    </cfRule>
  </conditionalFormatting>
  <pageMargins left="0.70866141732283472" right="0.70866141732283472" top="0.74803149606299213" bottom="0.74803149606299213" header="0.31496062992125984" footer="0.31496062992125984"/>
  <pageSetup paperSize="9" scale="40"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dataBar" id="{A2DAE918-B477-DF4C-821E-513895FA89F2}">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U37:U39</xm:sqref>
        </x14:conditionalFormatting>
        <x14:conditionalFormatting xmlns:xm="http://schemas.microsoft.com/office/excel/2006/main">
          <x14:cfRule type="dataBar" id="{7E1440C7-F615-3246-AE81-AD262B0E732D}">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U47:U49</xm:sqref>
        </x14:conditionalFormatting>
        <x14:conditionalFormatting xmlns:xm="http://schemas.microsoft.com/office/excel/2006/main">
          <x14:cfRule type="dataBar" id="{58B2F785-4E37-3449-80F0-D6297943C204}">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U23:U27</xm:sqref>
        </x14:conditionalFormatting>
        <x14:conditionalFormatting xmlns:xm="http://schemas.microsoft.com/office/excel/2006/main">
          <x14:cfRule type="dataBar" id="{28964DDD-0081-3441-9A61-DA5E9FE95FB4}">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U56:U59</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4"/>
  <sheetViews>
    <sheetView showGridLines="0" zoomScale="80" zoomScaleNormal="80" workbookViewId="0">
      <pane xSplit="3" ySplit="3" topLeftCell="D4" activePane="bottomRight" state="frozen"/>
      <selection pane="topRight" activeCell="D1" sqref="D1"/>
      <selection pane="bottomLeft" activeCell="A5" sqref="A5"/>
      <selection pane="bottomRight" sqref="A1:C2"/>
    </sheetView>
  </sheetViews>
  <sheetFormatPr baseColWidth="10" defaultRowHeight="15.75"/>
  <cols>
    <col min="1" max="1" width="13.625" customWidth="1"/>
    <col min="2" max="2" width="20" bestFit="1" customWidth="1"/>
    <col min="3" max="3" width="29.125" bestFit="1" customWidth="1"/>
    <col min="4" max="4" width="13.125" customWidth="1"/>
    <col min="7" max="7" width="12.625" customWidth="1"/>
    <col min="11" max="11" width="12.625" bestFit="1" customWidth="1"/>
    <col min="12" max="12" width="13.625" customWidth="1"/>
    <col min="13" max="14" width="12.125" customWidth="1"/>
    <col min="15" max="15" width="13.625" customWidth="1"/>
    <col min="17" max="17" width="13.125" customWidth="1"/>
    <col min="18" max="18" width="12" bestFit="1" customWidth="1"/>
    <col min="20" max="21" width="14.5" customWidth="1"/>
  </cols>
  <sheetData>
    <row r="1" spans="1:21" ht="16.5" thickBot="1">
      <c r="A1" s="329" t="s">
        <v>172</v>
      </c>
      <c r="B1" s="329"/>
      <c r="C1" s="329"/>
      <c r="D1" s="139"/>
    </row>
    <row r="2" spans="1:21" ht="65.25" customHeight="1" thickTop="1" thickBot="1">
      <c r="A2" s="330"/>
      <c r="B2" s="330"/>
      <c r="C2" s="330"/>
      <c r="D2" s="331" t="s">
        <v>2</v>
      </c>
      <c r="E2" s="332"/>
      <c r="F2" s="333"/>
      <c r="G2" s="102" t="s">
        <v>208</v>
      </c>
      <c r="H2" s="334" t="s">
        <v>4</v>
      </c>
      <c r="I2" s="335"/>
      <c r="J2" s="335"/>
      <c r="K2" s="101" t="s">
        <v>289</v>
      </c>
      <c r="L2" s="336" t="s">
        <v>220</v>
      </c>
      <c r="M2" s="337"/>
      <c r="N2" s="337"/>
      <c r="O2" s="337"/>
    </row>
    <row r="3" spans="1:21" s="100" customFormat="1" ht="39.75" thickTop="1" thickBot="1">
      <c r="A3" s="246" t="s">
        <v>161</v>
      </c>
      <c r="B3" s="194" t="s">
        <v>15</v>
      </c>
      <c r="C3" s="195" t="s">
        <v>16</v>
      </c>
      <c r="D3" s="196" t="s">
        <v>13</v>
      </c>
      <c r="E3" s="196" t="s">
        <v>14</v>
      </c>
      <c r="F3" s="196" t="s">
        <v>238</v>
      </c>
      <c r="G3" s="197" t="s">
        <v>210</v>
      </c>
      <c r="H3" s="196" t="s">
        <v>153</v>
      </c>
      <c r="I3" s="196" t="s">
        <v>254</v>
      </c>
      <c r="J3" s="196" t="s">
        <v>239</v>
      </c>
      <c r="K3" s="198" t="s">
        <v>257</v>
      </c>
      <c r="L3" s="196" t="s">
        <v>207</v>
      </c>
      <c r="M3" s="196" t="s">
        <v>209</v>
      </c>
      <c r="N3" s="196" t="s">
        <v>226</v>
      </c>
      <c r="O3" s="196" t="s">
        <v>227</v>
      </c>
      <c r="P3" s="200" t="s">
        <v>2</v>
      </c>
      <c r="Q3" s="201" t="s">
        <v>3</v>
      </c>
      <c r="R3" s="202" t="s">
        <v>4</v>
      </c>
      <c r="S3" s="201" t="s">
        <v>217</v>
      </c>
      <c r="T3" s="202" t="s">
        <v>220</v>
      </c>
      <c r="U3" s="203" t="s">
        <v>0</v>
      </c>
    </row>
    <row r="4" spans="1:21" ht="16.5" thickTop="1">
      <c r="A4" s="248">
        <v>63</v>
      </c>
      <c r="B4" s="14" t="s">
        <v>17</v>
      </c>
      <c r="C4" s="15" t="s">
        <v>18</v>
      </c>
      <c r="D4" s="239">
        <v>7.95</v>
      </c>
      <c r="E4" s="240">
        <v>82.99</v>
      </c>
      <c r="F4" s="239">
        <v>25.384969560546374</v>
      </c>
      <c r="G4" s="241">
        <v>35509.212948075772</v>
      </c>
      <c r="H4" s="240">
        <v>7.41</v>
      </c>
      <c r="I4" s="240">
        <v>9.92</v>
      </c>
      <c r="J4" s="239">
        <v>4.1049064100816111</v>
      </c>
      <c r="K4" s="116">
        <v>123877.77</v>
      </c>
      <c r="L4" s="112">
        <v>3.7653037653037652E-2</v>
      </c>
      <c r="M4" s="242">
        <v>926</v>
      </c>
      <c r="N4" s="112">
        <v>3.2000000000000001E-2</v>
      </c>
      <c r="O4" s="112">
        <v>3.5000000000000003E-2</v>
      </c>
      <c r="P4" s="20">
        <v>5.9755712407886328E-3</v>
      </c>
      <c r="Q4" s="21">
        <v>7.6421895253684924E-3</v>
      </c>
      <c r="R4" s="20">
        <v>7.9685550371678439E-3</v>
      </c>
      <c r="S4" s="21">
        <v>7.6200054293813465E-3</v>
      </c>
      <c r="T4" s="20">
        <v>7.487080809295275E-3</v>
      </c>
      <c r="U4" s="22">
        <v>7.4593952596246019E-3</v>
      </c>
    </row>
    <row r="5" spans="1:21">
      <c r="A5" s="248">
        <v>45</v>
      </c>
      <c r="B5" s="14" t="s">
        <v>17</v>
      </c>
      <c r="C5" s="15" t="s">
        <v>19</v>
      </c>
      <c r="D5" s="239">
        <v>16.93</v>
      </c>
      <c r="E5" s="240">
        <v>83.7</v>
      </c>
      <c r="F5" s="239">
        <v>33.63778298204528</v>
      </c>
      <c r="G5" s="241">
        <v>26761.666506434147</v>
      </c>
      <c r="H5" s="240">
        <v>7.69</v>
      </c>
      <c r="I5" s="240">
        <v>11.15</v>
      </c>
      <c r="J5" s="239">
        <v>4.1049064100816111</v>
      </c>
      <c r="K5" s="116">
        <v>86189.55</v>
      </c>
      <c r="L5" s="112">
        <v>3.7653037653037652E-2</v>
      </c>
      <c r="M5" s="242">
        <v>926</v>
      </c>
      <c r="N5" s="112">
        <v>3.2000000000000001E-2</v>
      </c>
      <c r="O5" s="112">
        <v>3.5000000000000003E-2</v>
      </c>
      <c r="P5" s="23">
        <v>9.2843252178522011E-3</v>
      </c>
      <c r="Q5" s="24">
        <v>7.6545359266675496E-3</v>
      </c>
      <c r="R5" s="23">
        <v>8.4825151449727625E-3</v>
      </c>
      <c r="S5" s="24">
        <v>7.6420024639716998E-3</v>
      </c>
      <c r="T5" s="23">
        <v>7.487080809295275E-3</v>
      </c>
      <c r="U5" s="25">
        <v>8.1928461807593226E-3</v>
      </c>
    </row>
    <row r="6" spans="1:21">
      <c r="A6" s="248">
        <v>64</v>
      </c>
      <c r="B6" s="14" t="s">
        <v>17</v>
      </c>
      <c r="C6" s="15" t="s">
        <v>20</v>
      </c>
      <c r="D6" s="239">
        <v>9.9</v>
      </c>
      <c r="E6" s="240">
        <v>82.32</v>
      </c>
      <c r="F6" s="239">
        <v>21.475770925110133</v>
      </c>
      <c r="G6" s="241">
        <v>37426.712734786364</v>
      </c>
      <c r="H6" s="240">
        <v>6.82</v>
      </c>
      <c r="I6" s="240">
        <v>9.32</v>
      </c>
      <c r="J6" s="239">
        <v>4.1049064100816111</v>
      </c>
      <c r="K6" s="116">
        <v>146492.79999999999</v>
      </c>
      <c r="L6" s="112">
        <v>3.7653037653037652E-2</v>
      </c>
      <c r="M6" s="242">
        <v>926</v>
      </c>
      <c r="N6" s="112">
        <v>3.2000000000000001E-2</v>
      </c>
      <c r="O6" s="112">
        <v>3.5000000000000003E-2</v>
      </c>
      <c r="P6" s="23">
        <v>5.9742213130885135E-3</v>
      </c>
      <c r="Q6" s="24">
        <v>7.639483141125147E-3</v>
      </c>
      <c r="R6" s="23">
        <v>7.6367132669736219E-3</v>
      </c>
      <c r="S6" s="24">
        <v>7.6068059841124568E-3</v>
      </c>
      <c r="T6" s="23">
        <v>7.487080809295275E-3</v>
      </c>
      <c r="U6" s="25">
        <v>7.3439060180310505E-3</v>
      </c>
    </row>
    <row r="7" spans="1:21">
      <c r="A7" s="248">
        <v>66</v>
      </c>
      <c r="B7" s="14" t="s">
        <v>17</v>
      </c>
      <c r="C7" s="15" t="s">
        <v>21</v>
      </c>
      <c r="D7" s="239">
        <v>9.93</v>
      </c>
      <c r="E7" s="240">
        <v>85.57</v>
      </c>
      <c r="F7" s="239">
        <v>20.913147957432201</v>
      </c>
      <c r="G7" s="241">
        <v>41583.813435128395</v>
      </c>
      <c r="H7" s="240">
        <v>6.25</v>
      </c>
      <c r="I7" s="240">
        <v>9.1449999999999996</v>
      </c>
      <c r="J7" s="239">
        <v>4.1049064100816111</v>
      </c>
      <c r="K7" s="116">
        <v>158262.44</v>
      </c>
      <c r="L7" s="112">
        <v>3.7653037653037652E-2</v>
      </c>
      <c r="M7" s="242">
        <v>926</v>
      </c>
      <c r="N7" s="112">
        <v>3.2000000000000001E-2</v>
      </c>
      <c r="O7" s="112">
        <v>3.5000000000000003E-2</v>
      </c>
      <c r="P7" s="23">
        <v>5.9105267241636797E-3</v>
      </c>
      <c r="Q7" s="24">
        <v>7.6336157549009732E-3</v>
      </c>
      <c r="R7" s="23">
        <v>7.4687268179773354E-3</v>
      </c>
      <c r="S7" s="24">
        <v>7.5999365384820713E-3</v>
      </c>
      <c r="T7" s="23">
        <v>7.487080809295275E-3</v>
      </c>
      <c r="U7" s="25">
        <v>7.2734618792076383E-3</v>
      </c>
    </row>
    <row r="8" spans="1:21">
      <c r="A8" s="248">
        <v>62</v>
      </c>
      <c r="B8" s="14" t="s">
        <v>17</v>
      </c>
      <c r="C8" s="15" t="s">
        <v>22</v>
      </c>
      <c r="D8" s="239">
        <v>11.6</v>
      </c>
      <c r="E8" s="240">
        <v>84.09</v>
      </c>
      <c r="F8" s="239">
        <v>24.474369794151102</v>
      </c>
      <c r="G8" s="241">
        <v>31866.058945599867</v>
      </c>
      <c r="H8" s="240">
        <v>6.51</v>
      </c>
      <c r="I8" s="240">
        <v>9.6150000000000002</v>
      </c>
      <c r="J8" s="239">
        <v>4.1049064100816111</v>
      </c>
      <c r="K8" s="116">
        <v>106451.1</v>
      </c>
      <c r="L8" s="112">
        <v>3.7653037653037652E-2</v>
      </c>
      <c r="M8" s="242">
        <v>926</v>
      </c>
      <c r="N8" s="112">
        <v>3.2000000000000001E-2</v>
      </c>
      <c r="O8" s="112">
        <v>3.5000000000000003E-2</v>
      </c>
      <c r="P8" s="23">
        <v>6.7818433525782696E-3</v>
      </c>
      <c r="Q8" s="24">
        <v>7.6473315205106626E-3</v>
      </c>
      <c r="R8" s="23">
        <v>7.6924958375708258E-3</v>
      </c>
      <c r="S8" s="24">
        <v>7.6301766463500618E-3</v>
      </c>
      <c r="T8" s="23">
        <v>7.487080809295275E-3</v>
      </c>
      <c r="U8" s="25">
        <v>7.5020366990519206E-3</v>
      </c>
    </row>
    <row r="9" spans="1:21">
      <c r="A9" s="248">
        <v>58</v>
      </c>
      <c r="B9" s="14" t="s">
        <v>17</v>
      </c>
      <c r="C9" s="15" t="s">
        <v>23</v>
      </c>
      <c r="D9" s="239">
        <v>13.7</v>
      </c>
      <c r="E9" s="240">
        <v>82.47</v>
      </c>
      <c r="F9" s="239">
        <v>25.620749644156255</v>
      </c>
      <c r="G9" s="241">
        <v>31684.186417871879</v>
      </c>
      <c r="H9" s="240">
        <v>6.55</v>
      </c>
      <c r="I9" s="240">
        <v>9.5150000000000006</v>
      </c>
      <c r="J9" s="239">
        <v>4.1049064100816111</v>
      </c>
      <c r="K9" s="116">
        <v>168590.95</v>
      </c>
      <c r="L9" s="112">
        <v>3.7653037653037652E-2</v>
      </c>
      <c r="M9" s="242">
        <v>926</v>
      </c>
      <c r="N9" s="112">
        <v>3.2000000000000001E-2</v>
      </c>
      <c r="O9" s="112">
        <v>3.5000000000000003E-2</v>
      </c>
      <c r="P9" s="23">
        <v>7.4567884502772935E-3</v>
      </c>
      <c r="Q9" s="24">
        <v>7.6475882177717272E-3</v>
      </c>
      <c r="R9" s="23">
        <v>7.6619408720179942E-3</v>
      </c>
      <c r="S9" s="24">
        <v>7.5939082200383555E-3</v>
      </c>
      <c r="T9" s="23">
        <v>7.487080809295275E-3</v>
      </c>
      <c r="U9" s="25">
        <v>7.601590643093882E-3</v>
      </c>
    </row>
    <row r="10" spans="1:21">
      <c r="A10" s="248">
        <v>88</v>
      </c>
      <c r="B10" s="14" t="s">
        <v>24</v>
      </c>
      <c r="C10" s="15" t="s">
        <v>25</v>
      </c>
      <c r="D10" s="239">
        <v>3.84</v>
      </c>
      <c r="E10" s="240">
        <v>85.8</v>
      </c>
      <c r="F10" s="239">
        <v>25.733732643615571</v>
      </c>
      <c r="G10" s="241">
        <v>35479.451419982761</v>
      </c>
      <c r="H10" s="240">
        <v>6.39</v>
      </c>
      <c r="I10" s="240">
        <v>7.75</v>
      </c>
      <c r="J10" s="239">
        <v>3.3840580393784729</v>
      </c>
      <c r="K10" s="116">
        <v>85593.4</v>
      </c>
      <c r="L10" s="112">
        <v>3.275315388247993E-2</v>
      </c>
      <c r="M10" s="242">
        <v>276</v>
      </c>
      <c r="N10" s="112">
        <v>2.9000000000000001E-2</v>
      </c>
      <c r="O10" s="112">
        <v>3.7037037037037035E-2</v>
      </c>
      <c r="P10" s="23">
        <v>4.9819728301459445E-3</v>
      </c>
      <c r="Q10" s="24">
        <v>7.6422315311779569E-3</v>
      </c>
      <c r="R10" s="23">
        <v>6.4581460649816829E-3</v>
      </c>
      <c r="S10" s="24">
        <v>7.6423504117434709E-3</v>
      </c>
      <c r="T10" s="23">
        <v>4.3148232686282583E-3</v>
      </c>
      <c r="U10" s="25">
        <v>6.4821431901315365E-3</v>
      </c>
    </row>
    <row r="11" spans="1:21">
      <c r="A11" s="248">
        <v>87</v>
      </c>
      <c r="B11" s="14" t="s">
        <v>24</v>
      </c>
      <c r="C11" s="15" t="s">
        <v>316</v>
      </c>
      <c r="D11" s="239">
        <v>4.07</v>
      </c>
      <c r="E11" s="240">
        <v>86.21</v>
      </c>
      <c r="F11" s="239">
        <v>25.601391816387299</v>
      </c>
      <c r="G11" s="241">
        <v>45515.797866970956</v>
      </c>
      <c r="H11" s="240">
        <v>6.57</v>
      </c>
      <c r="I11" s="240">
        <v>7.9050000000000002</v>
      </c>
      <c r="J11" s="239">
        <v>3.3840580393784729</v>
      </c>
      <c r="K11" s="116">
        <v>82991.45</v>
      </c>
      <c r="L11" s="112">
        <v>3.275315388247993E-2</v>
      </c>
      <c r="M11" s="242">
        <v>276</v>
      </c>
      <c r="N11" s="112">
        <v>2.9000000000000001E-2</v>
      </c>
      <c r="O11" s="112">
        <v>3.7037037037037035E-2</v>
      </c>
      <c r="P11" s="23">
        <v>5.0232901913011829E-3</v>
      </c>
      <c r="Q11" s="24">
        <v>7.6280661007183921E-3</v>
      </c>
      <c r="R11" s="23">
        <v>6.5488073440033807E-3</v>
      </c>
      <c r="S11" s="24">
        <v>7.6438690609169366E-3</v>
      </c>
      <c r="T11" s="23">
        <v>4.3148232686282583E-3</v>
      </c>
      <c r="U11" s="25">
        <v>6.5155638189119628E-3</v>
      </c>
    </row>
    <row r="12" spans="1:21">
      <c r="A12" s="248">
        <v>69</v>
      </c>
      <c r="B12" s="14" t="s">
        <v>24</v>
      </c>
      <c r="C12" s="15" t="s">
        <v>317</v>
      </c>
      <c r="D12" s="239">
        <v>10.029999999999999</v>
      </c>
      <c r="E12" s="240">
        <v>86.97</v>
      </c>
      <c r="F12" s="239">
        <v>37.771591115414878</v>
      </c>
      <c r="G12" s="241">
        <v>32349.243225554786</v>
      </c>
      <c r="H12" s="240">
        <v>7.25</v>
      </c>
      <c r="I12" s="240">
        <v>9.3249999999999993</v>
      </c>
      <c r="J12" s="239">
        <v>3.3840580393784729</v>
      </c>
      <c r="K12" s="116">
        <v>78861.740000000005</v>
      </c>
      <c r="L12" s="112">
        <v>3.275315388247993E-2</v>
      </c>
      <c r="M12" s="242">
        <v>276</v>
      </c>
      <c r="N12" s="112">
        <v>2.9000000000000001E-2</v>
      </c>
      <c r="O12" s="112">
        <v>3.7037037037037035E-2</v>
      </c>
      <c r="P12" s="23">
        <v>8.0643824580338367E-3</v>
      </c>
      <c r="Q12" s="24">
        <v>7.6466495479070853E-3</v>
      </c>
      <c r="R12" s="23">
        <v>7.2059926104473086E-3</v>
      </c>
      <c r="S12" s="24">
        <v>7.6462793995776138E-3</v>
      </c>
      <c r="T12" s="23">
        <v>4.3148232686282583E-3</v>
      </c>
      <c r="U12" s="25">
        <v>7.253829967229195E-3</v>
      </c>
    </row>
    <row r="13" spans="1:21">
      <c r="A13" s="248">
        <v>108</v>
      </c>
      <c r="B13" s="14" t="s">
        <v>24</v>
      </c>
      <c r="C13" s="15" t="s">
        <v>26</v>
      </c>
      <c r="D13" s="239">
        <v>4.12</v>
      </c>
      <c r="E13" s="240">
        <v>85.65</v>
      </c>
      <c r="F13" s="239">
        <v>16.584611056407372</v>
      </c>
      <c r="G13" s="241">
        <v>50471.944991068405</v>
      </c>
      <c r="H13" s="240">
        <v>5</v>
      </c>
      <c r="I13" s="240">
        <v>5.7149999999999999</v>
      </c>
      <c r="J13" s="239">
        <v>3.3840580393784729</v>
      </c>
      <c r="K13" s="116">
        <v>89149.77</v>
      </c>
      <c r="L13" s="112">
        <v>3.275315388247993E-2</v>
      </c>
      <c r="M13" s="242">
        <v>276</v>
      </c>
      <c r="N13" s="112">
        <v>2.9000000000000001E-2</v>
      </c>
      <c r="O13" s="112">
        <v>3.7037037037037035E-2</v>
      </c>
      <c r="P13" s="23">
        <v>3.8974036098986375E-3</v>
      </c>
      <c r="Q13" s="24">
        <v>7.6210709299354192E-3</v>
      </c>
      <c r="R13" s="23">
        <v>5.4419905918400872E-3</v>
      </c>
      <c r="S13" s="24">
        <v>7.6402747076134781E-3</v>
      </c>
      <c r="T13" s="23">
        <v>4.3148232686282583E-3</v>
      </c>
      <c r="U13" s="25">
        <v>5.9469156459537355E-3</v>
      </c>
    </row>
    <row r="14" spans="1:21">
      <c r="A14" s="248">
        <v>85</v>
      </c>
      <c r="B14" s="14" t="s">
        <v>24</v>
      </c>
      <c r="C14" s="15" t="s">
        <v>318</v>
      </c>
      <c r="D14" s="239">
        <v>7.83</v>
      </c>
      <c r="E14" s="240">
        <v>85.16</v>
      </c>
      <c r="F14" s="239">
        <v>28.057520691727934</v>
      </c>
      <c r="G14" s="241">
        <v>40446.1981682037</v>
      </c>
      <c r="H14" s="240">
        <v>5.86</v>
      </c>
      <c r="I14" s="240">
        <v>7.1950000000000003</v>
      </c>
      <c r="J14" s="239">
        <v>3.3840580393784729</v>
      </c>
      <c r="K14" s="116">
        <v>84211.54</v>
      </c>
      <c r="L14" s="112">
        <v>3.275315388247993E-2</v>
      </c>
      <c r="M14" s="242">
        <v>276</v>
      </c>
      <c r="N14" s="112">
        <v>2.9000000000000001E-2</v>
      </c>
      <c r="O14" s="112">
        <v>3.7037037037037035E-2</v>
      </c>
      <c r="P14" s="23">
        <v>6.2825930362418051E-3</v>
      </c>
      <c r="Q14" s="24">
        <v>7.635221399947054E-3</v>
      </c>
      <c r="R14" s="23">
        <v>6.1540105765108422E-3</v>
      </c>
      <c r="S14" s="24">
        <v>7.6431569455150065E-3</v>
      </c>
      <c r="T14" s="23">
        <v>4.3148232686282583E-3</v>
      </c>
      <c r="U14" s="25">
        <v>6.5930652177231134E-3</v>
      </c>
    </row>
    <row r="15" spans="1:21">
      <c r="A15" s="248">
        <v>77</v>
      </c>
      <c r="B15" s="14" t="s">
        <v>24</v>
      </c>
      <c r="C15" s="15" t="s">
        <v>27</v>
      </c>
      <c r="D15" s="239">
        <v>10.09</v>
      </c>
      <c r="E15" s="240">
        <v>85.32</v>
      </c>
      <c r="F15" s="239">
        <v>30.906478821021409</v>
      </c>
      <c r="G15" s="241">
        <v>34649.633461765203</v>
      </c>
      <c r="H15" s="240">
        <v>7.01</v>
      </c>
      <c r="I15" s="240">
        <v>9.4050000000000011</v>
      </c>
      <c r="J15" s="239">
        <v>3.3840580393784729</v>
      </c>
      <c r="K15" s="116">
        <v>81504.509999999995</v>
      </c>
      <c r="L15" s="112">
        <v>3.275315388247993E-2</v>
      </c>
      <c r="M15" s="242">
        <v>276</v>
      </c>
      <c r="N15" s="112">
        <v>2.9000000000000001E-2</v>
      </c>
      <c r="O15" s="112">
        <v>3.7037037037037035E-2</v>
      </c>
      <c r="P15" s="23">
        <v>7.2127860539417821E-3</v>
      </c>
      <c r="Q15" s="24">
        <v>7.6434027470824008E-3</v>
      </c>
      <c r="R15" s="23">
        <v>7.1932191236239538E-3</v>
      </c>
      <c r="S15" s="24">
        <v>7.6447369254808188E-3</v>
      </c>
      <c r="T15" s="23">
        <v>4.3148232686282583E-3</v>
      </c>
      <c r="U15" s="25">
        <v>7.1061829173812152E-3</v>
      </c>
    </row>
    <row r="16" spans="1:21">
      <c r="A16" s="248">
        <v>81</v>
      </c>
      <c r="B16" s="14" t="s">
        <v>24</v>
      </c>
      <c r="C16" s="15" t="s">
        <v>28</v>
      </c>
      <c r="D16" s="239">
        <v>2.98</v>
      </c>
      <c r="E16" s="240">
        <v>73.78</v>
      </c>
      <c r="F16" s="239">
        <v>28.659286592865929</v>
      </c>
      <c r="G16" s="241">
        <v>38575</v>
      </c>
      <c r="H16" s="240">
        <v>9.1300000000000008</v>
      </c>
      <c r="I16" s="240">
        <v>9.68</v>
      </c>
      <c r="J16" s="239">
        <v>3.3840580393784729</v>
      </c>
      <c r="K16" s="116">
        <v>118352.83</v>
      </c>
      <c r="L16" s="112">
        <v>3.275315388247993E-2</v>
      </c>
      <c r="M16" s="242">
        <v>276</v>
      </c>
      <c r="N16" s="112">
        <v>2.9000000000000001E-2</v>
      </c>
      <c r="O16" s="112">
        <v>3.7037037037037035E-2</v>
      </c>
      <c r="P16" s="23">
        <v>5.1351331846866827E-3</v>
      </c>
      <c r="Q16" s="24">
        <v>7.6378624334812947E-3</v>
      </c>
      <c r="R16" s="23">
        <v>7.6762593854439167E-3</v>
      </c>
      <c r="S16" s="24">
        <v>7.6232301053222543E-3</v>
      </c>
      <c r="T16" s="23">
        <v>4.3148232686282583E-3</v>
      </c>
      <c r="U16" s="25">
        <v>6.9211175245994143E-3</v>
      </c>
    </row>
    <row r="17" spans="1:21">
      <c r="A17" s="248">
        <v>98</v>
      </c>
      <c r="B17" s="14" t="s">
        <v>29</v>
      </c>
      <c r="C17" s="15" t="s">
        <v>30</v>
      </c>
      <c r="D17" s="239">
        <v>5.39</v>
      </c>
      <c r="E17" s="240">
        <v>87.03</v>
      </c>
      <c r="F17" s="239">
        <v>24.769610333067266</v>
      </c>
      <c r="G17" s="241">
        <v>36935.286245332303</v>
      </c>
      <c r="H17" s="240">
        <v>6.13</v>
      </c>
      <c r="I17" s="240">
        <v>7.4350000000000005</v>
      </c>
      <c r="J17" s="239">
        <v>3.0468907224793722</v>
      </c>
      <c r="K17" s="116">
        <v>95326.83</v>
      </c>
      <c r="L17" s="112">
        <v>1.3496812800832574E-2</v>
      </c>
      <c r="M17" s="242">
        <v>128</v>
      </c>
      <c r="N17" s="112">
        <v>1.4999999999999999E-2</v>
      </c>
      <c r="O17" s="112">
        <v>2.4E-2</v>
      </c>
      <c r="P17" s="23">
        <v>5.2513977363153035E-3</v>
      </c>
      <c r="Q17" s="24">
        <v>7.6401767468908628E-3</v>
      </c>
      <c r="R17" s="23">
        <v>6.0544973917075143E-3</v>
      </c>
      <c r="S17" s="24">
        <v>7.636669416557368E-3</v>
      </c>
      <c r="T17" s="23">
        <v>2.1466223173517819E-3</v>
      </c>
      <c r="U17" s="25">
        <v>6.1850949862622866E-3</v>
      </c>
    </row>
    <row r="18" spans="1:21">
      <c r="A18" s="248">
        <v>100</v>
      </c>
      <c r="B18" s="14" t="s">
        <v>29</v>
      </c>
      <c r="C18" s="15" t="s">
        <v>31</v>
      </c>
      <c r="D18" s="239">
        <v>4.33</v>
      </c>
      <c r="E18" s="240">
        <v>85.45</v>
      </c>
      <c r="F18" s="239">
        <v>25.2453653217012</v>
      </c>
      <c r="G18" s="241">
        <v>46144.621926852698</v>
      </c>
      <c r="H18" s="240">
        <v>6.17</v>
      </c>
      <c r="I18" s="240">
        <v>7.4649999999999999</v>
      </c>
      <c r="J18" s="239">
        <v>3.0468907224793722</v>
      </c>
      <c r="K18" s="116">
        <v>88542.87</v>
      </c>
      <c r="L18" s="112">
        <v>1.3496812800832574E-2</v>
      </c>
      <c r="M18" s="242">
        <v>128</v>
      </c>
      <c r="N18" s="112">
        <v>1.4999999999999999E-2</v>
      </c>
      <c r="O18" s="112">
        <v>2.4E-2</v>
      </c>
      <c r="P18" s="23">
        <v>5.0440163701017957E-3</v>
      </c>
      <c r="Q18" s="24">
        <v>7.6271785702272318E-3</v>
      </c>
      <c r="R18" s="23">
        <v>6.072968246189768E-3</v>
      </c>
      <c r="S18" s="24">
        <v>7.6406289297097432E-3</v>
      </c>
      <c r="T18" s="23">
        <v>2.1466223173517819E-3</v>
      </c>
      <c r="U18" s="25">
        <v>6.1529022290682522E-3</v>
      </c>
    </row>
    <row r="19" spans="1:21">
      <c r="A19" s="248">
        <v>119</v>
      </c>
      <c r="B19" s="14" t="s">
        <v>29</v>
      </c>
      <c r="C19" s="15" t="s">
        <v>319</v>
      </c>
      <c r="D19" s="239">
        <v>2.36</v>
      </c>
      <c r="E19" s="240">
        <v>85.49</v>
      </c>
      <c r="F19" s="239">
        <v>19.83888292158969</v>
      </c>
      <c r="G19" s="241">
        <v>59503.240485351089</v>
      </c>
      <c r="H19" s="240">
        <v>4.99</v>
      </c>
      <c r="I19" s="240">
        <v>6.11</v>
      </c>
      <c r="J19" s="239">
        <v>3.0468907224793722</v>
      </c>
      <c r="K19" s="116">
        <v>124302.52</v>
      </c>
      <c r="L19" s="112">
        <v>1.3496812800832574E-2</v>
      </c>
      <c r="M19" s="242">
        <v>128</v>
      </c>
      <c r="N19" s="112">
        <v>1.4999999999999999E-2</v>
      </c>
      <c r="O19" s="112">
        <v>2.4E-2</v>
      </c>
      <c r="P19" s="23">
        <v>3.8640731787711641E-3</v>
      </c>
      <c r="Q19" s="24">
        <v>7.6083240415174298E-3</v>
      </c>
      <c r="R19" s="23">
        <v>5.3508308434517954E-3</v>
      </c>
      <c r="S19" s="24">
        <v>7.6197575206066086E-3</v>
      </c>
      <c r="T19" s="23">
        <v>2.1466223173517819E-3</v>
      </c>
      <c r="U19" s="25">
        <v>5.7015631966431607E-3</v>
      </c>
    </row>
    <row r="20" spans="1:21">
      <c r="A20" s="248">
        <v>102</v>
      </c>
      <c r="B20" s="14" t="s">
        <v>29</v>
      </c>
      <c r="C20" s="15" t="s">
        <v>32</v>
      </c>
      <c r="D20" s="239">
        <v>5.89</v>
      </c>
      <c r="E20" s="240">
        <v>85.39</v>
      </c>
      <c r="F20" s="239">
        <v>22.188449848024316</v>
      </c>
      <c r="G20" s="241">
        <v>46829.309806687961</v>
      </c>
      <c r="H20" s="240">
        <v>5.67</v>
      </c>
      <c r="I20" s="240">
        <v>7.2949999999999999</v>
      </c>
      <c r="J20" s="239">
        <v>3.0468907224793722</v>
      </c>
      <c r="K20" s="116">
        <v>160058.20000000001</v>
      </c>
      <c r="L20" s="112">
        <v>1.3496812800832574E-2</v>
      </c>
      <c r="M20" s="242">
        <v>128</v>
      </c>
      <c r="N20" s="112">
        <v>1.4999999999999999E-2</v>
      </c>
      <c r="O20" s="112">
        <v>2.4E-2</v>
      </c>
      <c r="P20" s="23">
        <v>5.051798357750833E-3</v>
      </c>
      <c r="Q20" s="24">
        <v>7.6262121928109532E-3</v>
      </c>
      <c r="R20" s="23">
        <v>5.9193925121399926E-3</v>
      </c>
      <c r="S20" s="24">
        <v>7.5988884286261006E-3</v>
      </c>
      <c r="T20" s="23">
        <v>2.1466223173517819E-3</v>
      </c>
      <c r="U20" s="25">
        <v>6.0982715087439165E-3</v>
      </c>
    </row>
    <row r="21" spans="1:21">
      <c r="A21" s="248">
        <v>124</v>
      </c>
      <c r="B21" s="14" t="s">
        <v>29</v>
      </c>
      <c r="C21" s="15" t="s">
        <v>320</v>
      </c>
      <c r="D21" s="239">
        <v>4.22</v>
      </c>
      <c r="E21" s="240">
        <v>85.13</v>
      </c>
      <c r="F21" s="239">
        <v>18.288005578800558</v>
      </c>
      <c r="G21" s="241">
        <v>69543.255848425251</v>
      </c>
      <c r="H21" s="240">
        <v>4.09</v>
      </c>
      <c r="I21" s="240">
        <v>5.3249999999999993</v>
      </c>
      <c r="J21" s="239">
        <v>3.0468907224793722</v>
      </c>
      <c r="K21" s="116">
        <v>327167.19</v>
      </c>
      <c r="L21" s="112">
        <v>1.3496812800832574E-2</v>
      </c>
      <c r="M21" s="242">
        <v>128</v>
      </c>
      <c r="N21" s="112">
        <v>1.4999999999999999E-2</v>
      </c>
      <c r="O21" s="112">
        <v>2.4E-2</v>
      </c>
      <c r="P21" s="23">
        <v>4.1377686303737601E-3</v>
      </c>
      <c r="Q21" s="24">
        <v>7.5941534327017826E-3</v>
      </c>
      <c r="R21" s="23">
        <v>4.8937532314175351E-3</v>
      </c>
      <c r="S21" s="24">
        <v>7.5013539143033488E-3</v>
      </c>
      <c r="T21" s="23">
        <v>2.1466223173517819E-3</v>
      </c>
      <c r="U21" s="25">
        <v>5.577573739687639E-3</v>
      </c>
    </row>
    <row r="22" spans="1:21">
      <c r="A22" s="248">
        <v>128</v>
      </c>
      <c r="B22" s="14" t="s">
        <v>29</v>
      </c>
      <c r="C22" s="15" t="s">
        <v>33</v>
      </c>
      <c r="D22" s="239">
        <v>2.72</v>
      </c>
      <c r="E22" s="240">
        <v>85.2</v>
      </c>
      <c r="F22" s="239">
        <v>15.199455643446457</v>
      </c>
      <c r="G22" s="241">
        <v>68049.083003506137</v>
      </c>
      <c r="H22" s="240">
        <v>4.2300000000000004</v>
      </c>
      <c r="I22" s="240">
        <v>5.3949999999999996</v>
      </c>
      <c r="J22" s="239">
        <v>3.0468907224793722</v>
      </c>
      <c r="K22" s="116">
        <v>205078.82</v>
      </c>
      <c r="L22" s="112">
        <v>1.3496812800832574E-2</v>
      </c>
      <c r="M22" s="242">
        <v>128</v>
      </c>
      <c r="N22" s="112">
        <v>1.4999999999999999E-2</v>
      </c>
      <c r="O22" s="112">
        <v>2.4E-2</v>
      </c>
      <c r="P22" s="23">
        <v>3.3691449592763937E-3</v>
      </c>
      <c r="Q22" s="24">
        <v>7.5962623277704283E-3</v>
      </c>
      <c r="R22" s="23">
        <v>4.9452019628652109E-3</v>
      </c>
      <c r="S22" s="24">
        <v>7.5726117794391893E-3</v>
      </c>
      <c r="T22" s="23">
        <v>2.1466223173517819E-3</v>
      </c>
      <c r="U22" s="25">
        <v>5.4729188874173135E-3</v>
      </c>
    </row>
    <row r="23" spans="1:21">
      <c r="A23" s="248">
        <v>129</v>
      </c>
      <c r="B23" s="14" t="s">
        <v>34</v>
      </c>
      <c r="C23" s="15" t="s">
        <v>35</v>
      </c>
      <c r="D23" s="239">
        <v>7.98</v>
      </c>
      <c r="E23" s="240">
        <v>85.89</v>
      </c>
      <c r="F23" s="239">
        <v>14.205950386854909</v>
      </c>
      <c r="G23" s="241">
        <v>79736.559682901207</v>
      </c>
      <c r="H23" s="240">
        <v>3.31</v>
      </c>
      <c r="I23" s="240">
        <v>4.5449999999999999</v>
      </c>
      <c r="J23" s="239">
        <v>2.5515857253360652</v>
      </c>
      <c r="K23" s="116">
        <v>258711.98</v>
      </c>
      <c r="L23" s="112">
        <v>2.7153209406238363E-2</v>
      </c>
      <c r="M23" s="242">
        <v>128</v>
      </c>
      <c r="N23" s="112">
        <v>1.9E-2</v>
      </c>
      <c r="O23" s="112">
        <v>2.5000000000000001E-2</v>
      </c>
      <c r="P23" s="23">
        <v>4.5713716085665525E-3</v>
      </c>
      <c r="Q23" s="24">
        <v>7.5797664705355055E-3</v>
      </c>
      <c r="R23" s="23">
        <v>4.1099165152253874E-3</v>
      </c>
      <c r="S23" s="24">
        <v>7.5413083515853407E-3</v>
      </c>
      <c r="T23" s="23">
        <v>2.7977118641345118E-3</v>
      </c>
      <c r="U23" s="25">
        <v>5.4413936828231896E-3</v>
      </c>
    </row>
    <row r="24" spans="1:21">
      <c r="A24" s="248">
        <v>112</v>
      </c>
      <c r="B24" s="14" t="s">
        <v>34</v>
      </c>
      <c r="C24" s="15" t="s">
        <v>36</v>
      </c>
      <c r="D24" s="239">
        <v>7.29</v>
      </c>
      <c r="E24" s="240">
        <v>85.62</v>
      </c>
      <c r="F24" s="239">
        <v>19.233158047285826</v>
      </c>
      <c r="G24" s="241">
        <v>50739.084967341667</v>
      </c>
      <c r="H24" s="240">
        <v>4.7699999999999996</v>
      </c>
      <c r="I24" s="240">
        <v>6.4350000000000005</v>
      </c>
      <c r="J24" s="239">
        <v>2.5515857253360652</v>
      </c>
      <c r="K24" s="116">
        <v>156823.97</v>
      </c>
      <c r="L24" s="112">
        <v>2.7153209406238363E-2</v>
      </c>
      <c r="M24" s="242">
        <v>128</v>
      </c>
      <c r="N24" s="112">
        <v>1.9E-2</v>
      </c>
      <c r="O24" s="112">
        <v>2.5000000000000001E-2</v>
      </c>
      <c r="P24" s="23">
        <v>5.0320052247313975E-3</v>
      </c>
      <c r="Q24" s="24">
        <v>7.6206938850838036E-3</v>
      </c>
      <c r="R24" s="23">
        <v>5.0839144494268561E-3</v>
      </c>
      <c r="S24" s="24">
        <v>7.6007761131382159E-3</v>
      </c>
      <c r="T24" s="23">
        <v>2.7977118641345118E-3</v>
      </c>
      <c r="U24" s="25">
        <v>5.8687797066534573E-3</v>
      </c>
    </row>
    <row r="25" spans="1:21">
      <c r="A25" s="248">
        <v>92</v>
      </c>
      <c r="B25" s="14" t="s">
        <v>34</v>
      </c>
      <c r="C25" s="15" t="s">
        <v>37</v>
      </c>
      <c r="D25" s="239">
        <v>6.62</v>
      </c>
      <c r="E25" s="240">
        <v>85.68</v>
      </c>
      <c r="F25" s="239">
        <v>24.537707958958901</v>
      </c>
      <c r="G25" s="241">
        <v>41675.788313774166</v>
      </c>
      <c r="H25" s="240">
        <v>6.04</v>
      </c>
      <c r="I25" s="240">
        <v>8.120000000000001</v>
      </c>
      <c r="J25" s="239">
        <v>2.5515857253360652</v>
      </c>
      <c r="K25" s="116">
        <v>109638.43</v>
      </c>
      <c r="L25" s="112">
        <v>2.7153209406238363E-2</v>
      </c>
      <c r="M25" s="242">
        <v>128</v>
      </c>
      <c r="N25" s="112">
        <v>1.9E-2</v>
      </c>
      <c r="O25" s="112">
        <v>2.5000000000000001E-2</v>
      </c>
      <c r="P25" s="23">
        <v>5.532684308622195E-3</v>
      </c>
      <c r="Q25" s="24">
        <v>7.6334859403559725E-3</v>
      </c>
      <c r="R25" s="23">
        <v>5.9466057190515169E-3</v>
      </c>
      <c r="S25" s="24">
        <v>7.6283163354024805E-3</v>
      </c>
      <c r="T25" s="23">
        <v>2.7977118641345118E-3</v>
      </c>
      <c r="U25" s="25">
        <v>6.2533359583339171E-3</v>
      </c>
    </row>
    <row r="26" spans="1:21">
      <c r="A26" s="248">
        <v>105</v>
      </c>
      <c r="B26" s="14" t="s">
        <v>34</v>
      </c>
      <c r="C26" s="15" t="s">
        <v>38</v>
      </c>
      <c r="D26" s="239">
        <v>6.34</v>
      </c>
      <c r="E26" s="240">
        <v>85.05</v>
      </c>
      <c r="F26" s="239">
        <v>20.692939635670914</v>
      </c>
      <c r="G26" s="241">
        <v>46915.951826041404</v>
      </c>
      <c r="H26" s="240">
        <v>5.56</v>
      </c>
      <c r="I26" s="240">
        <v>7.4499999999999993</v>
      </c>
      <c r="J26" s="239">
        <v>2.5515857253360652</v>
      </c>
      <c r="K26" s="116">
        <v>114653.63</v>
      </c>
      <c r="L26" s="112">
        <v>2.7153209406238363E-2</v>
      </c>
      <c r="M26" s="242">
        <v>128</v>
      </c>
      <c r="N26" s="112">
        <v>1.9E-2</v>
      </c>
      <c r="O26" s="112">
        <v>2.5000000000000001E-2</v>
      </c>
      <c r="P26" s="23">
        <v>4.9765728047577677E-3</v>
      </c>
      <c r="Q26" s="24">
        <v>7.6260899051332105E-3</v>
      </c>
      <c r="R26" s="23">
        <v>5.6080477405654108E-3</v>
      </c>
      <c r="S26" s="24">
        <v>7.6253891733375819E-3</v>
      </c>
      <c r="T26" s="23">
        <v>2.7977118641345118E-3</v>
      </c>
      <c r="U26" s="25">
        <v>6.042229267101005E-3</v>
      </c>
    </row>
    <row r="27" spans="1:21">
      <c r="A27" s="248">
        <v>109</v>
      </c>
      <c r="B27" s="14" t="s">
        <v>34</v>
      </c>
      <c r="C27" s="15" t="s">
        <v>39</v>
      </c>
      <c r="D27" s="239">
        <v>7.42</v>
      </c>
      <c r="E27" s="240">
        <v>85.99</v>
      </c>
      <c r="F27" s="239">
        <v>18.543007261349548</v>
      </c>
      <c r="G27" s="241">
        <v>49641.190872657826</v>
      </c>
      <c r="H27" s="240">
        <v>4.83</v>
      </c>
      <c r="I27" s="240">
        <v>6.96</v>
      </c>
      <c r="J27" s="239">
        <v>2.5515857253360652</v>
      </c>
      <c r="K27" s="116">
        <v>152272.01</v>
      </c>
      <c r="L27" s="112">
        <v>2.7153209406238363E-2</v>
      </c>
      <c r="M27" s="242">
        <v>128</v>
      </c>
      <c r="N27" s="112">
        <v>1.9E-2</v>
      </c>
      <c r="O27" s="112">
        <v>2.5000000000000001E-2</v>
      </c>
      <c r="P27" s="23">
        <v>4.9776489511078777E-3</v>
      </c>
      <c r="Q27" s="24">
        <v>7.6222434671485871E-3</v>
      </c>
      <c r="R27" s="23">
        <v>5.2926391435874787E-3</v>
      </c>
      <c r="S27" s="24">
        <v>7.6034329014284001E-3</v>
      </c>
      <c r="T27" s="23">
        <v>2.7977118641345118E-3</v>
      </c>
      <c r="U27" s="25">
        <v>5.9317346459209427E-3</v>
      </c>
    </row>
    <row r="28" spans="1:21">
      <c r="A28" s="248">
        <v>123</v>
      </c>
      <c r="B28" s="14" t="s">
        <v>34</v>
      </c>
      <c r="C28" s="15" t="s">
        <v>40</v>
      </c>
      <c r="D28" s="239">
        <v>8.32</v>
      </c>
      <c r="E28" s="240">
        <v>86.82</v>
      </c>
      <c r="F28" s="239">
        <v>15.909427260618617</v>
      </c>
      <c r="G28" s="241">
        <v>72528.93424364175</v>
      </c>
      <c r="H28" s="240">
        <v>3.6</v>
      </c>
      <c r="I28" s="240">
        <v>5.415</v>
      </c>
      <c r="J28" s="239">
        <v>2.5515857253360652</v>
      </c>
      <c r="K28" s="116">
        <v>260293.34</v>
      </c>
      <c r="L28" s="112">
        <v>2.7153209406238402E-2</v>
      </c>
      <c r="M28" s="242">
        <v>128</v>
      </c>
      <c r="N28" s="112">
        <v>1.9E-2</v>
      </c>
      <c r="O28" s="112">
        <v>2.5000000000000001E-2</v>
      </c>
      <c r="P28" s="23">
        <v>4.8722272420389017E-3</v>
      </c>
      <c r="Q28" s="24">
        <v>7.5899394072189577E-3</v>
      </c>
      <c r="R28" s="23">
        <v>4.4899021146286066E-3</v>
      </c>
      <c r="S28" s="24">
        <v>7.5403853780243767E-3</v>
      </c>
      <c r="T28" s="23">
        <v>2.7977118641345127E-3</v>
      </c>
      <c r="U28" s="25">
        <v>5.6246654321220335E-3</v>
      </c>
    </row>
    <row r="29" spans="1:21">
      <c r="A29" s="248">
        <v>131</v>
      </c>
      <c r="B29" s="14" t="s">
        <v>41</v>
      </c>
      <c r="C29" s="15" t="s">
        <v>42</v>
      </c>
      <c r="D29" s="239">
        <v>6.2</v>
      </c>
      <c r="E29" s="240">
        <v>86.4</v>
      </c>
      <c r="F29" s="239">
        <v>16.052830188679245</v>
      </c>
      <c r="G29" s="241">
        <v>88193.871439463444</v>
      </c>
      <c r="H29" s="240">
        <v>3.06</v>
      </c>
      <c r="I29" s="240">
        <v>4.28</v>
      </c>
      <c r="J29" s="239">
        <v>2.5063762470002047</v>
      </c>
      <c r="K29" s="116">
        <v>312996.19</v>
      </c>
      <c r="L29" s="112">
        <v>1.8523972199316764E-2</v>
      </c>
      <c r="M29" s="242">
        <v>148</v>
      </c>
      <c r="N29" s="112">
        <v>1.4999999999999999E-2</v>
      </c>
      <c r="O29" s="112">
        <v>2.576864177170456E-2</v>
      </c>
      <c r="P29" s="23">
        <v>4.3552354417870712E-3</v>
      </c>
      <c r="Q29" s="24">
        <v>7.5678297102617113E-3</v>
      </c>
      <c r="R29" s="23">
        <v>3.9332895122462259E-3</v>
      </c>
      <c r="S29" s="24">
        <v>7.5096249331304491E-3</v>
      </c>
      <c r="T29" s="23">
        <v>2.443050197790269E-3</v>
      </c>
      <c r="U29" s="25">
        <v>5.3055307649558479E-3</v>
      </c>
    </row>
    <row r="30" spans="1:21">
      <c r="A30" s="248">
        <v>93</v>
      </c>
      <c r="B30" s="14" t="s">
        <v>41</v>
      </c>
      <c r="C30" s="15" t="s">
        <v>43</v>
      </c>
      <c r="D30" s="239">
        <v>6.46</v>
      </c>
      <c r="E30" s="240">
        <v>84.97</v>
      </c>
      <c r="F30" s="239">
        <v>22.079392566937525</v>
      </c>
      <c r="G30" s="241">
        <v>44699.409526484305</v>
      </c>
      <c r="H30" s="240">
        <v>6.12</v>
      </c>
      <c r="I30" s="240">
        <v>8.875</v>
      </c>
      <c r="J30" s="239">
        <v>2.5063762470002047</v>
      </c>
      <c r="K30" s="116">
        <v>101406.77</v>
      </c>
      <c r="L30" s="112">
        <v>1.8523972199316764E-2</v>
      </c>
      <c r="M30" s="242">
        <v>148</v>
      </c>
      <c r="N30" s="112">
        <v>1.4999999999999999E-2</v>
      </c>
      <c r="O30" s="112">
        <v>2.576864177170456E-2</v>
      </c>
      <c r="P30" s="23">
        <v>5.1819356320862257E-3</v>
      </c>
      <c r="Q30" s="24">
        <v>7.6292183618849683E-3</v>
      </c>
      <c r="R30" s="23">
        <v>6.2136897730671386E-3</v>
      </c>
      <c r="S30" s="24">
        <v>7.6331208103751907E-3</v>
      </c>
      <c r="T30" s="23">
        <v>2.443050197790269E-3</v>
      </c>
      <c r="U30" s="25">
        <v>6.251852068015663E-3</v>
      </c>
    </row>
    <row r="31" spans="1:21">
      <c r="A31" s="248">
        <v>94</v>
      </c>
      <c r="B31" s="14" t="s">
        <v>41</v>
      </c>
      <c r="C31" s="15" t="s">
        <v>44</v>
      </c>
      <c r="D31" s="239">
        <v>7.21</v>
      </c>
      <c r="E31" s="240">
        <v>85.56</v>
      </c>
      <c r="F31" s="239">
        <v>23.396627273934403</v>
      </c>
      <c r="G31" s="241">
        <v>44436.726803944228</v>
      </c>
      <c r="H31" s="240">
        <v>5.98</v>
      </c>
      <c r="I31" s="240">
        <v>8.3849999999999998</v>
      </c>
      <c r="J31" s="239">
        <v>2.5063762470002047</v>
      </c>
      <c r="K31" s="116">
        <v>113798.58</v>
      </c>
      <c r="L31" s="112">
        <v>1.8523972199316764E-2</v>
      </c>
      <c r="M31" s="242">
        <v>148</v>
      </c>
      <c r="N31" s="112">
        <v>1.4999999999999999E-2</v>
      </c>
      <c r="O31" s="112">
        <v>2.576864177170456E-2</v>
      </c>
      <c r="P31" s="23">
        <v>5.5375359058849605E-3</v>
      </c>
      <c r="Q31" s="24">
        <v>7.629589115710449E-3</v>
      </c>
      <c r="R31" s="23">
        <v>6.0038499307368785E-3</v>
      </c>
      <c r="S31" s="24">
        <v>7.6258882301894707E-3</v>
      </c>
      <c r="T31" s="23">
        <v>2.443050197790269E-3</v>
      </c>
      <c r="U31" s="25">
        <v>6.2390648019010212E-3</v>
      </c>
    </row>
    <row r="32" spans="1:21">
      <c r="A32" s="248">
        <v>125</v>
      </c>
      <c r="B32" s="14" t="s">
        <v>41</v>
      </c>
      <c r="C32" s="15" t="s">
        <v>45</v>
      </c>
      <c r="D32" s="239">
        <v>3.78</v>
      </c>
      <c r="E32" s="240">
        <v>86.2</v>
      </c>
      <c r="F32" s="239">
        <v>16.530670239110137</v>
      </c>
      <c r="G32" s="241">
        <v>63487.380653796492</v>
      </c>
      <c r="H32" s="240">
        <v>4.5</v>
      </c>
      <c r="I32" s="240">
        <v>6.2349999999999994</v>
      </c>
      <c r="J32" s="239">
        <v>2.5063762470002047</v>
      </c>
      <c r="K32" s="116">
        <v>156399.54999999999</v>
      </c>
      <c r="L32" s="112">
        <v>1.8523972199316764E-2</v>
      </c>
      <c r="M32" s="242">
        <v>148</v>
      </c>
      <c r="N32" s="112">
        <v>1.4999999999999999E-2</v>
      </c>
      <c r="O32" s="112">
        <v>2.576864177170456E-2</v>
      </c>
      <c r="P32" s="23">
        <v>3.8047319897745379E-3</v>
      </c>
      <c r="Q32" s="24">
        <v>7.6027007740470049E-3</v>
      </c>
      <c r="R32" s="23">
        <v>4.9282217546127742E-3</v>
      </c>
      <c r="S32" s="24">
        <v>7.6010238293057831E-3</v>
      </c>
      <c r="T32" s="23">
        <v>2.443050197790269E-3</v>
      </c>
      <c r="U32" s="25">
        <v>5.5717728061910306E-3</v>
      </c>
    </row>
    <row r="33" spans="1:21">
      <c r="A33" s="248">
        <v>130</v>
      </c>
      <c r="B33" s="14" t="s">
        <v>41</v>
      </c>
      <c r="C33" s="15" t="s">
        <v>46</v>
      </c>
      <c r="D33" s="239">
        <v>4.88</v>
      </c>
      <c r="E33" s="240">
        <v>85.89</v>
      </c>
      <c r="F33" s="239">
        <v>13.543307086614174</v>
      </c>
      <c r="G33" s="241">
        <v>73422.834209702633</v>
      </c>
      <c r="H33" s="240">
        <v>3.78</v>
      </c>
      <c r="I33" s="240">
        <v>5.1950000000000003</v>
      </c>
      <c r="J33" s="239">
        <v>2.5063762470002047</v>
      </c>
      <c r="K33" s="116">
        <v>201438.28</v>
      </c>
      <c r="L33" s="112">
        <v>1.8523972199316764E-2</v>
      </c>
      <c r="M33" s="242">
        <v>148</v>
      </c>
      <c r="N33" s="112">
        <v>1.4999999999999999E-2</v>
      </c>
      <c r="O33" s="112">
        <v>2.576864177170456E-2</v>
      </c>
      <c r="P33" s="23">
        <v>3.7052008832481704E-3</v>
      </c>
      <c r="Q33" s="24">
        <v>7.588677745131671E-3</v>
      </c>
      <c r="R33" s="23">
        <v>4.4071855276434013E-3</v>
      </c>
      <c r="S33" s="24">
        <v>7.574736610070818E-3</v>
      </c>
      <c r="T33" s="23">
        <v>2.443050197790269E-3</v>
      </c>
      <c r="U33" s="25">
        <v>5.3706114594984219E-3</v>
      </c>
    </row>
    <row r="34" spans="1:21">
      <c r="A34" s="248">
        <v>110</v>
      </c>
      <c r="B34" s="14" t="s">
        <v>41</v>
      </c>
      <c r="C34" s="15" t="s">
        <v>47</v>
      </c>
      <c r="D34" s="239">
        <v>4.82</v>
      </c>
      <c r="E34" s="240">
        <v>86.55</v>
      </c>
      <c r="F34" s="239">
        <v>17.423955093681258</v>
      </c>
      <c r="G34" s="241">
        <v>56554.143514980584</v>
      </c>
      <c r="H34" s="240">
        <v>5.34</v>
      </c>
      <c r="I34" s="240">
        <v>7.96</v>
      </c>
      <c r="J34" s="239">
        <v>2.5063762470002047</v>
      </c>
      <c r="K34" s="116">
        <v>106808.86</v>
      </c>
      <c r="L34" s="112">
        <v>1.8523972199316764E-2</v>
      </c>
      <c r="M34" s="242">
        <v>148</v>
      </c>
      <c r="N34" s="112">
        <v>1.4999999999999999E-2</v>
      </c>
      <c r="O34" s="112">
        <v>2.5768641771704601E-2</v>
      </c>
      <c r="P34" s="23">
        <v>4.1800183628793539E-3</v>
      </c>
      <c r="Q34" s="24">
        <v>7.6124864354994385E-3</v>
      </c>
      <c r="R34" s="23">
        <v>5.7290579521125738E-3</v>
      </c>
      <c r="S34" s="24">
        <v>7.6299678368309315E-3</v>
      </c>
      <c r="T34" s="23">
        <v>2.4430501977902698E-3</v>
      </c>
      <c r="U34" s="25">
        <v>5.9134010097303584E-3</v>
      </c>
    </row>
    <row r="35" spans="1:21">
      <c r="A35" s="248">
        <v>46</v>
      </c>
      <c r="B35" s="14" t="s">
        <v>48</v>
      </c>
      <c r="C35" s="15" t="s">
        <v>49</v>
      </c>
      <c r="D35" s="239">
        <v>18.84</v>
      </c>
      <c r="E35" s="240">
        <v>85.7</v>
      </c>
      <c r="F35" s="239">
        <v>41.111734495705839</v>
      </c>
      <c r="G35" s="241">
        <v>28860.619326379441</v>
      </c>
      <c r="H35" s="240">
        <v>7.1</v>
      </c>
      <c r="I35" s="240">
        <v>9.9750000000000014</v>
      </c>
      <c r="J35" s="239">
        <v>3.9123004763116751</v>
      </c>
      <c r="K35" s="116">
        <v>78296.899999999994</v>
      </c>
      <c r="L35" s="112">
        <v>2.6796828932713096E-2</v>
      </c>
      <c r="M35" s="242">
        <v>900</v>
      </c>
      <c r="N35" s="112">
        <v>3.6999999999999998E-2</v>
      </c>
      <c r="O35" s="112">
        <v>4.5993579243923215E-2</v>
      </c>
      <c r="P35" s="23">
        <v>1.0710040811769423E-2</v>
      </c>
      <c r="Q35" s="24">
        <v>7.6515734372431463E-3</v>
      </c>
      <c r="R35" s="23">
        <v>7.7976810138759723E-3</v>
      </c>
      <c r="S35" s="24">
        <v>7.6466090730145132E-3</v>
      </c>
      <c r="T35" s="23">
        <v>7.4332302313602303E-3</v>
      </c>
      <c r="U35" s="25">
        <v>8.191100233668645E-3</v>
      </c>
    </row>
    <row r="36" spans="1:21">
      <c r="A36" s="248">
        <v>73</v>
      </c>
      <c r="B36" s="14" t="s">
        <v>48</v>
      </c>
      <c r="C36" s="15" t="s">
        <v>50</v>
      </c>
      <c r="D36" s="239">
        <v>11.01</v>
      </c>
      <c r="E36" s="240">
        <v>85.56</v>
      </c>
      <c r="F36" s="239">
        <v>26.475160766023603</v>
      </c>
      <c r="G36" s="241">
        <v>44415.683716413318</v>
      </c>
      <c r="H36" s="240">
        <v>5.47</v>
      </c>
      <c r="I36" s="240">
        <v>7.8699999999999992</v>
      </c>
      <c r="J36" s="239">
        <v>3.9123004763116751</v>
      </c>
      <c r="K36" s="116">
        <v>115696.81</v>
      </c>
      <c r="L36" s="112">
        <v>2.6796828932713096E-2</v>
      </c>
      <c r="M36" s="242">
        <v>900</v>
      </c>
      <c r="N36" s="112">
        <v>3.6999999999999998E-2</v>
      </c>
      <c r="O36" s="112">
        <v>4.5993579243923215E-2</v>
      </c>
      <c r="P36" s="23">
        <v>6.8854536949566484E-3</v>
      </c>
      <c r="Q36" s="24">
        <v>7.6296188161990323E-3</v>
      </c>
      <c r="R36" s="23">
        <v>6.7121838000243818E-3</v>
      </c>
      <c r="S36" s="24">
        <v>7.6247803128887742E-3</v>
      </c>
      <c r="T36" s="23">
        <v>7.4332302313602303E-3</v>
      </c>
      <c r="U36" s="25">
        <v>7.1731684480426019E-3</v>
      </c>
    </row>
    <row r="37" spans="1:21">
      <c r="A37" s="248">
        <v>76</v>
      </c>
      <c r="B37" s="14" t="s">
        <v>48</v>
      </c>
      <c r="C37" s="15" t="s">
        <v>51</v>
      </c>
      <c r="D37" s="239">
        <v>10.78</v>
      </c>
      <c r="E37" s="240">
        <v>85.62</v>
      </c>
      <c r="F37" s="239">
        <v>25.150435239820062</v>
      </c>
      <c r="G37" s="241">
        <v>46595.922461094349</v>
      </c>
      <c r="H37" s="240">
        <v>5.42</v>
      </c>
      <c r="I37" s="240">
        <v>7.73</v>
      </c>
      <c r="J37" s="239">
        <v>3.9123004763116751</v>
      </c>
      <c r="K37" s="116">
        <v>114452.2</v>
      </c>
      <c r="L37" s="112">
        <v>2.6796828932713096E-2</v>
      </c>
      <c r="M37" s="242">
        <v>900</v>
      </c>
      <c r="N37" s="112">
        <v>3.6999999999999998E-2</v>
      </c>
      <c r="O37" s="112">
        <v>4.5993579243923215E-2</v>
      </c>
      <c r="P37" s="23">
        <v>6.6601204615524502E-3</v>
      </c>
      <c r="Q37" s="24">
        <v>7.6265415987587862E-3</v>
      </c>
      <c r="R37" s="23">
        <v>6.6504402584323628E-3</v>
      </c>
      <c r="S37" s="24">
        <v>7.62550673958713E-3</v>
      </c>
      <c r="T37" s="23">
        <v>7.4332302313602303E-3</v>
      </c>
      <c r="U37" s="25">
        <v>7.1135261901628371E-3</v>
      </c>
    </row>
    <row r="38" spans="1:21">
      <c r="A38" s="248">
        <v>33</v>
      </c>
      <c r="B38" s="14" t="s">
        <v>48</v>
      </c>
      <c r="C38" s="15" t="s">
        <v>52</v>
      </c>
      <c r="D38" s="239">
        <v>11.11</v>
      </c>
      <c r="E38" s="240">
        <v>83.88</v>
      </c>
      <c r="F38" s="239">
        <v>46.91261703076237</v>
      </c>
      <c r="G38" s="241">
        <v>29675.215769875176</v>
      </c>
      <c r="H38" s="240">
        <v>10.63</v>
      </c>
      <c r="I38" s="240">
        <v>13.984999999999999</v>
      </c>
      <c r="J38" s="239">
        <v>3.9123004763116751</v>
      </c>
      <c r="K38" s="116">
        <v>81848.03</v>
      </c>
      <c r="L38" s="112">
        <v>2.6796828932713096E-2</v>
      </c>
      <c r="M38" s="242">
        <v>900</v>
      </c>
      <c r="N38" s="112">
        <v>3.6999999999999998E-2</v>
      </c>
      <c r="O38" s="112">
        <v>4.5993579243923215E-2</v>
      </c>
      <c r="P38" s="23">
        <v>9.491443529923007E-3</v>
      </c>
      <c r="Q38" s="24">
        <v>7.6504237051833882E-3</v>
      </c>
      <c r="R38" s="23">
        <v>9.9415622280718888E-3</v>
      </c>
      <c r="S38" s="24">
        <v>7.6445364272529244E-3</v>
      </c>
      <c r="T38" s="23">
        <v>7.4332302313602303E-3</v>
      </c>
      <c r="U38" s="25">
        <v>8.7198273549745058E-3</v>
      </c>
    </row>
    <row r="39" spans="1:21">
      <c r="A39" s="248">
        <v>43</v>
      </c>
      <c r="B39" s="14" t="s">
        <v>48</v>
      </c>
      <c r="C39" s="15" t="s">
        <v>53</v>
      </c>
      <c r="D39" s="239">
        <v>17.989999999999998</v>
      </c>
      <c r="E39" s="240">
        <v>83.97</v>
      </c>
      <c r="F39" s="239">
        <v>46.513334964521654</v>
      </c>
      <c r="G39" s="241">
        <v>28693.648097831949</v>
      </c>
      <c r="H39" s="240">
        <v>7.96</v>
      </c>
      <c r="I39" s="240">
        <v>10.414999999999999</v>
      </c>
      <c r="J39" s="239">
        <v>3.9123004763116751</v>
      </c>
      <c r="K39" s="116">
        <v>56502.33</v>
      </c>
      <c r="L39" s="112">
        <v>2.6796828932713096E-2</v>
      </c>
      <c r="M39" s="242">
        <v>900</v>
      </c>
      <c r="N39" s="112">
        <v>3.6999999999999998E-2</v>
      </c>
      <c r="O39" s="112">
        <v>4.5993579243923215E-2</v>
      </c>
      <c r="P39" s="23">
        <v>1.117766289790623E-2</v>
      </c>
      <c r="Q39" s="24">
        <v>7.6518091026159226E-3</v>
      </c>
      <c r="R39" s="23">
        <v>8.1174944382660374E-3</v>
      </c>
      <c r="S39" s="24">
        <v>7.65932965016493E-3</v>
      </c>
      <c r="T39" s="23">
        <v>7.4332302313602303E-3</v>
      </c>
      <c r="U39" s="25">
        <v>8.3794597966103997E-3</v>
      </c>
    </row>
    <row r="40" spans="1:21">
      <c r="A40" s="248">
        <v>40</v>
      </c>
      <c r="B40" s="14" t="s">
        <v>48</v>
      </c>
      <c r="C40" s="15" t="s">
        <v>54</v>
      </c>
      <c r="D40" s="239">
        <v>19.670000000000002</v>
      </c>
      <c r="E40" s="240">
        <v>84.84</v>
      </c>
      <c r="F40" s="239">
        <v>44.037257596579629</v>
      </c>
      <c r="G40" s="241">
        <v>29320.7636426756</v>
      </c>
      <c r="H40" s="240">
        <v>7.65</v>
      </c>
      <c r="I40" s="240">
        <v>10.865</v>
      </c>
      <c r="J40" s="239">
        <v>3.9123004763116751</v>
      </c>
      <c r="K40" s="116">
        <v>69769.070000000007</v>
      </c>
      <c r="L40" s="112">
        <v>2.6796828932713096E-2</v>
      </c>
      <c r="M40" s="242">
        <v>900</v>
      </c>
      <c r="N40" s="112">
        <v>3.6999999999999998E-2</v>
      </c>
      <c r="O40" s="112">
        <v>4.5993579243923215E-2</v>
      </c>
      <c r="P40" s="23">
        <v>1.1289013064421632E-2</v>
      </c>
      <c r="Q40" s="24">
        <v>7.6509239835452015E-3</v>
      </c>
      <c r="R40" s="23">
        <v>8.2317308712127682E-3</v>
      </c>
      <c r="S40" s="24">
        <v>7.6515864100044437E-3</v>
      </c>
      <c r="T40" s="23">
        <v>7.4332302313602303E-3</v>
      </c>
      <c r="U40" s="25">
        <v>8.4362125174502235E-3</v>
      </c>
    </row>
    <row r="41" spans="1:21">
      <c r="A41" s="248">
        <v>95</v>
      </c>
      <c r="B41" s="14" t="s">
        <v>55</v>
      </c>
      <c r="C41" s="15" t="s">
        <v>56</v>
      </c>
      <c r="D41" s="239">
        <v>6.55</v>
      </c>
      <c r="E41" s="240">
        <v>86.62</v>
      </c>
      <c r="F41" s="239">
        <v>21.306788097003071</v>
      </c>
      <c r="G41" s="241">
        <v>45820.967484979083</v>
      </c>
      <c r="H41" s="240">
        <v>5.86</v>
      </c>
      <c r="I41" s="240">
        <v>7.76</v>
      </c>
      <c r="J41" s="239">
        <v>2.703855152959699</v>
      </c>
      <c r="K41" s="116">
        <v>111003.11</v>
      </c>
      <c r="L41" s="112">
        <v>2.7428537540030839E-2</v>
      </c>
      <c r="M41" s="242">
        <v>160</v>
      </c>
      <c r="N41" s="112">
        <v>2.7E-2</v>
      </c>
      <c r="O41" s="112">
        <v>3.3000000000000002E-2</v>
      </c>
      <c r="P41" s="23">
        <v>5.1069826109683553E-3</v>
      </c>
      <c r="Q41" s="24">
        <v>7.6276353803337287E-3</v>
      </c>
      <c r="R41" s="23">
        <v>5.8862692080742457E-3</v>
      </c>
      <c r="S41" s="24">
        <v>7.6275198288769715E-3</v>
      </c>
      <c r="T41" s="23">
        <v>3.4472446780921067E-3</v>
      </c>
      <c r="U41" s="25">
        <v>6.2205352805488143E-3</v>
      </c>
    </row>
    <row r="42" spans="1:21">
      <c r="A42" s="248">
        <v>97</v>
      </c>
      <c r="B42" s="14" t="s">
        <v>55</v>
      </c>
      <c r="C42" s="15" t="s">
        <v>57</v>
      </c>
      <c r="D42" s="239">
        <v>6.16</v>
      </c>
      <c r="E42" s="240">
        <v>85.26</v>
      </c>
      <c r="F42" s="239">
        <v>22.874574914982997</v>
      </c>
      <c r="G42" s="241">
        <v>42935.374278636868</v>
      </c>
      <c r="H42" s="240">
        <v>5.63</v>
      </c>
      <c r="I42" s="240">
        <v>7.4649999999999999</v>
      </c>
      <c r="J42" s="239">
        <v>2.703855152959699</v>
      </c>
      <c r="K42" s="116">
        <v>119836.57</v>
      </c>
      <c r="L42" s="112">
        <v>2.7428537540030839E-2</v>
      </c>
      <c r="M42" s="242">
        <v>160</v>
      </c>
      <c r="N42" s="112">
        <v>2.7E-2</v>
      </c>
      <c r="O42" s="112">
        <v>3.3000000000000002E-2</v>
      </c>
      <c r="P42" s="23">
        <v>5.2065973017081761E-3</v>
      </c>
      <c r="Q42" s="24">
        <v>7.6317081442737675E-3</v>
      </c>
      <c r="R42" s="23">
        <v>5.7338643874605289E-3</v>
      </c>
      <c r="S42" s="24">
        <v>7.6223641084642675E-3</v>
      </c>
      <c r="T42" s="23">
        <v>3.4472446780921067E-3</v>
      </c>
      <c r="U42" s="25">
        <v>6.1860053160120989E-3</v>
      </c>
    </row>
    <row r="43" spans="1:21">
      <c r="A43" s="248">
        <v>96</v>
      </c>
      <c r="B43" s="14" t="s">
        <v>55</v>
      </c>
      <c r="C43" s="15" t="s">
        <v>58</v>
      </c>
      <c r="D43" s="239">
        <v>6.89</v>
      </c>
      <c r="E43" s="240">
        <v>84.6</v>
      </c>
      <c r="F43" s="239">
        <v>21.089931573802541</v>
      </c>
      <c r="G43" s="241">
        <v>42776.916598599571</v>
      </c>
      <c r="H43" s="240">
        <v>5.63</v>
      </c>
      <c r="I43" s="240">
        <v>7.5399999999999991</v>
      </c>
      <c r="J43" s="239">
        <v>2.703855152959699</v>
      </c>
      <c r="K43" s="116">
        <v>114444.1</v>
      </c>
      <c r="L43" s="112">
        <v>2.7428537540030839E-2</v>
      </c>
      <c r="M43" s="242">
        <v>160</v>
      </c>
      <c r="N43" s="112">
        <v>2.7E-2</v>
      </c>
      <c r="O43" s="112">
        <v>3.3000000000000002E-2</v>
      </c>
      <c r="P43" s="23">
        <v>5.1655624629071886E-3</v>
      </c>
      <c r="Q43" s="24">
        <v>7.6319317935129817E-3</v>
      </c>
      <c r="R43" s="23">
        <v>5.7621485144038476E-3</v>
      </c>
      <c r="S43" s="24">
        <v>7.6255114672176775E-3</v>
      </c>
      <c r="T43" s="23">
        <v>3.4472446780921067E-3</v>
      </c>
      <c r="U43" s="25">
        <v>6.1891313153736001E-3</v>
      </c>
    </row>
    <row r="44" spans="1:21">
      <c r="A44" s="248">
        <v>115</v>
      </c>
      <c r="B44" s="14" t="s">
        <v>55</v>
      </c>
      <c r="C44" s="15" t="s">
        <v>59</v>
      </c>
      <c r="D44" s="239">
        <v>7.25</v>
      </c>
      <c r="E44" s="240">
        <v>83.97</v>
      </c>
      <c r="F44" s="239">
        <v>18.897239941893513</v>
      </c>
      <c r="G44" s="241">
        <v>69962.598948637489</v>
      </c>
      <c r="H44" s="240">
        <v>4.12</v>
      </c>
      <c r="I44" s="240">
        <v>5.65</v>
      </c>
      <c r="J44" s="239">
        <v>2.703855152959699</v>
      </c>
      <c r="K44" s="116">
        <v>183069.1</v>
      </c>
      <c r="L44" s="112">
        <v>2.7428537540030839E-2</v>
      </c>
      <c r="M44" s="242">
        <v>160</v>
      </c>
      <c r="N44" s="112">
        <v>2.7E-2</v>
      </c>
      <c r="O44" s="112">
        <v>3.3000000000000002E-2</v>
      </c>
      <c r="P44" s="23">
        <v>4.9796063729986659E-3</v>
      </c>
      <c r="Q44" s="24">
        <v>7.5935615663731207E-3</v>
      </c>
      <c r="R44" s="23">
        <v>4.7792040755712207E-3</v>
      </c>
      <c r="S44" s="24">
        <v>7.5854579306281816E-3</v>
      </c>
      <c r="T44" s="23">
        <v>3.4472446780921067E-3</v>
      </c>
      <c r="U44" s="25">
        <v>5.8068115934480462E-3</v>
      </c>
    </row>
    <row r="45" spans="1:21">
      <c r="A45" s="248">
        <v>104</v>
      </c>
      <c r="B45" s="14" t="s">
        <v>55</v>
      </c>
      <c r="C45" s="15" t="s">
        <v>60</v>
      </c>
      <c r="D45" s="239">
        <v>6.17</v>
      </c>
      <c r="E45" s="240">
        <v>84.78</v>
      </c>
      <c r="F45" s="239">
        <v>20.568614282516229</v>
      </c>
      <c r="G45" s="241">
        <v>49812.688499088188</v>
      </c>
      <c r="H45" s="240">
        <v>5.27</v>
      </c>
      <c r="I45" s="240">
        <v>7.18</v>
      </c>
      <c r="J45" s="239">
        <v>2.703855152959699</v>
      </c>
      <c r="K45" s="116">
        <v>120876.72</v>
      </c>
      <c r="L45" s="112">
        <v>2.7428537540030839E-2</v>
      </c>
      <c r="M45" s="242">
        <v>160</v>
      </c>
      <c r="N45" s="112">
        <v>2.7E-2</v>
      </c>
      <c r="O45" s="112">
        <v>3.3000000000000002E-2</v>
      </c>
      <c r="P45" s="23">
        <v>4.9179817315948386E-3</v>
      </c>
      <c r="Q45" s="24">
        <v>7.6220014131587206E-3</v>
      </c>
      <c r="R45" s="23">
        <v>5.5619698717315749E-3</v>
      </c>
      <c r="S45" s="24">
        <v>7.6217570164994796E-3</v>
      </c>
      <c r="T45" s="23">
        <v>3.4472446780921067E-3</v>
      </c>
      <c r="U45" s="25">
        <v>6.0759217445072785E-3</v>
      </c>
    </row>
    <row r="46" spans="1:21">
      <c r="A46" s="248">
        <v>117</v>
      </c>
      <c r="B46" s="14" t="s">
        <v>55</v>
      </c>
      <c r="C46" s="15" t="s">
        <v>61</v>
      </c>
      <c r="D46" s="239">
        <v>3.97</v>
      </c>
      <c r="E46" s="240">
        <v>85.53</v>
      </c>
      <c r="F46" s="239">
        <v>16.310488823384919</v>
      </c>
      <c r="G46" s="241">
        <v>58449.463667455282</v>
      </c>
      <c r="H46" s="240">
        <v>4.5199999999999996</v>
      </c>
      <c r="I46" s="240">
        <v>6.1400000000000006</v>
      </c>
      <c r="J46" s="239">
        <v>2.703855152959699</v>
      </c>
      <c r="K46" s="116">
        <v>177386.51</v>
      </c>
      <c r="L46" s="112">
        <v>2.7428537540030839E-2</v>
      </c>
      <c r="M46" s="242">
        <v>160</v>
      </c>
      <c r="N46" s="112">
        <v>2.7E-2</v>
      </c>
      <c r="O46" s="112">
        <v>3.3000000000000002E-2</v>
      </c>
      <c r="P46" s="23">
        <v>3.8249357275788798E-3</v>
      </c>
      <c r="Q46" s="24">
        <v>7.6098113558815414E-3</v>
      </c>
      <c r="R46" s="23">
        <v>5.0355657419835064E-3</v>
      </c>
      <c r="S46" s="24">
        <v>7.5887746202673518E-3</v>
      </c>
      <c r="T46" s="23">
        <v>3.4472446780921067E-3</v>
      </c>
      <c r="U46" s="25">
        <v>5.7072115630950803E-3</v>
      </c>
    </row>
    <row r="47" spans="1:21">
      <c r="A47" s="248">
        <v>79</v>
      </c>
      <c r="B47" s="14" t="s">
        <v>62</v>
      </c>
      <c r="C47" s="15" t="s">
        <v>63</v>
      </c>
      <c r="D47" s="239">
        <v>2.3199999999999998</v>
      </c>
      <c r="E47" s="240">
        <v>83.23</v>
      </c>
      <c r="F47" s="239">
        <v>46.390658174097666</v>
      </c>
      <c r="G47" s="241">
        <v>40657.193469354628</v>
      </c>
      <c r="H47" s="240">
        <v>6.59</v>
      </c>
      <c r="I47" s="240">
        <v>8.6549999999999994</v>
      </c>
      <c r="J47" s="239">
        <v>3.1354236157438291</v>
      </c>
      <c r="K47" s="116">
        <v>94494.84</v>
      </c>
      <c r="L47" s="112">
        <v>2.3938872821074025E-2</v>
      </c>
      <c r="M47" s="242">
        <v>498</v>
      </c>
      <c r="N47" s="112">
        <v>2.9000000000000001E-2</v>
      </c>
      <c r="O47" s="112">
        <v>3.4000000000000002E-2</v>
      </c>
      <c r="P47" s="23">
        <v>7.2068177739992648E-3</v>
      </c>
      <c r="Q47" s="24">
        <v>7.6349235984232086E-3</v>
      </c>
      <c r="R47" s="23">
        <v>6.6594749598925772E-3</v>
      </c>
      <c r="S47" s="24">
        <v>7.6371550142536465E-3</v>
      </c>
      <c r="T47" s="23">
        <v>4.951918362780563E-3</v>
      </c>
      <c r="U47" s="25">
        <v>6.9791314876492781E-3</v>
      </c>
    </row>
    <row r="48" spans="1:21">
      <c r="A48" s="248">
        <v>113</v>
      </c>
      <c r="B48" s="14" t="s">
        <v>62</v>
      </c>
      <c r="C48" s="15" t="s">
        <v>64</v>
      </c>
      <c r="D48" s="239">
        <v>4.59</v>
      </c>
      <c r="E48" s="240">
        <v>86.4</v>
      </c>
      <c r="F48" s="239">
        <v>15.339233038348082</v>
      </c>
      <c r="G48" s="241">
        <v>79413.251321153861</v>
      </c>
      <c r="H48" s="240">
        <v>4.18</v>
      </c>
      <c r="I48" s="240">
        <v>5.6749999999999998</v>
      </c>
      <c r="J48" s="239">
        <v>3.1354236157438291</v>
      </c>
      <c r="K48" s="116">
        <v>173080.95999999999</v>
      </c>
      <c r="L48" s="112">
        <v>2.3938872821074025E-2</v>
      </c>
      <c r="M48" s="242">
        <v>498</v>
      </c>
      <c r="N48" s="112">
        <v>2.9000000000000001E-2</v>
      </c>
      <c r="O48" s="112">
        <v>3.4000000000000002E-2</v>
      </c>
      <c r="P48" s="23">
        <v>3.8587351218098294E-3</v>
      </c>
      <c r="Q48" s="24">
        <v>7.5802227921799911E-3</v>
      </c>
      <c r="R48" s="23">
        <v>5.1044307927895268E-3</v>
      </c>
      <c r="S48" s="24">
        <v>7.5912875893669931E-3</v>
      </c>
      <c r="T48" s="23">
        <v>4.951918362780563E-3</v>
      </c>
      <c r="U48" s="25">
        <v>5.867893767846054E-3</v>
      </c>
    </row>
    <row r="49" spans="1:21">
      <c r="A49" s="248">
        <v>83</v>
      </c>
      <c r="B49" s="14" t="s">
        <v>62</v>
      </c>
      <c r="C49" s="15" t="s">
        <v>65</v>
      </c>
      <c r="D49" s="239">
        <v>5.2</v>
      </c>
      <c r="E49" s="240">
        <v>85.49</v>
      </c>
      <c r="F49" s="239">
        <v>34.60144410513999</v>
      </c>
      <c r="G49" s="241">
        <v>46484.096164430717</v>
      </c>
      <c r="H49" s="240">
        <v>6.4</v>
      </c>
      <c r="I49" s="240">
        <v>8.0950000000000006</v>
      </c>
      <c r="J49" s="239">
        <v>3.1354236157438291</v>
      </c>
      <c r="K49" s="116">
        <v>100460.69</v>
      </c>
      <c r="L49" s="112">
        <v>2.3938872821074025E-2</v>
      </c>
      <c r="M49" s="242">
        <v>498</v>
      </c>
      <c r="N49" s="112">
        <v>2.9000000000000001E-2</v>
      </c>
      <c r="O49" s="112">
        <v>3.4000000000000002E-2</v>
      </c>
      <c r="P49" s="23">
        <v>6.4450074960091374E-3</v>
      </c>
      <c r="Q49" s="24">
        <v>7.6266994318544556E-3</v>
      </c>
      <c r="R49" s="23">
        <v>6.4142900944507263E-3</v>
      </c>
      <c r="S49" s="24">
        <v>7.6336729976232282E-3</v>
      </c>
      <c r="T49" s="23">
        <v>4.951918362780563E-3</v>
      </c>
      <c r="U49" s="25">
        <v>6.7652958924017941E-3</v>
      </c>
    </row>
    <row r="50" spans="1:21">
      <c r="A50" s="248">
        <v>68</v>
      </c>
      <c r="B50" s="14" t="s">
        <v>62</v>
      </c>
      <c r="C50" s="15" t="s">
        <v>321</v>
      </c>
      <c r="D50" s="239">
        <v>8.34</v>
      </c>
      <c r="E50" s="240">
        <v>85.53</v>
      </c>
      <c r="F50" s="239">
        <v>43.074878849460681</v>
      </c>
      <c r="G50" s="241">
        <v>34259.867765766263</v>
      </c>
      <c r="H50" s="240">
        <v>7.11</v>
      </c>
      <c r="I50" s="240">
        <v>9.1549999999999994</v>
      </c>
      <c r="J50" s="239">
        <v>3.1354236157438291</v>
      </c>
      <c r="K50" s="116">
        <v>75033.09</v>
      </c>
      <c r="L50" s="112">
        <v>2.3938872821074025E-2</v>
      </c>
      <c r="M50" s="242">
        <v>498</v>
      </c>
      <c r="N50" s="112">
        <v>2.9000000000000001E-2</v>
      </c>
      <c r="O50" s="112">
        <v>3.4000000000000002E-2</v>
      </c>
      <c r="P50" s="23">
        <v>8.3075385807852894E-3</v>
      </c>
      <c r="Q50" s="24">
        <v>7.6439528674764473E-3</v>
      </c>
      <c r="R50" s="23">
        <v>6.94107945434542E-3</v>
      </c>
      <c r="S50" s="24">
        <v>7.6485140221329998E-3</v>
      </c>
      <c r="T50" s="23">
        <v>4.951918362780563E-3</v>
      </c>
      <c r="U50" s="25">
        <v>7.2628233830312134E-3</v>
      </c>
    </row>
    <row r="51" spans="1:21">
      <c r="A51" s="248">
        <v>99</v>
      </c>
      <c r="B51" s="14" t="s">
        <v>62</v>
      </c>
      <c r="C51" s="15" t="s">
        <v>66</v>
      </c>
      <c r="D51" s="239">
        <v>3.16</v>
      </c>
      <c r="E51" s="240">
        <v>85.8</v>
      </c>
      <c r="F51" s="239">
        <v>23.109137513989676</v>
      </c>
      <c r="G51" s="241">
        <v>59243.286056378725</v>
      </c>
      <c r="H51" s="240">
        <v>5.16</v>
      </c>
      <c r="I51" s="240">
        <v>6.59</v>
      </c>
      <c r="J51" s="239">
        <v>3.1354236157438291</v>
      </c>
      <c r="K51" s="116">
        <v>96062.43</v>
      </c>
      <c r="L51" s="112">
        <v>2.3938872821074025E-2</v>
      </c>
      <c r="M51" s="242">
        <v>498</v>
      </c>
      <c r="N51" s="112">
        <v>2.9000000000000001E-2</v>
      </c>
      <c r="O51" s="112">
        <v>3.4000000000000002E-2</v>
      </c>
      <c r="P51" s="23">
        <v>4.4789210348267459E-3</v>
      </c>
      <c r="Q51" s="24">
        <v>7.6086909445937352E-3</v>
      </c>
      <c r="R51" s="23">
        <v>5.624848632268727E-3</v>
      </c>
      <c r="S51" s="24">
        <v>7.6362400776646151E-3</v>
      </c>
      <c r="T51" s="23">
        <v>4.951918362780563E-3</v>
      </c>
      <c r="U51" s="25">
        <v>6.1617962425814573E-3</v>
      </c>
    </row>
    <row r="52" spans="1:21">
      <c r="A52" s="248">
        <v>84</v>
      </c>
      <c r="B52" s="14" t="s">
        <v>62</v>
      </c>
      <c r="C52" s="15" t="s">
        <v>67</v>
      </c>
      <c r="D52" s="239">
        <v>8.01</v>
      </c>
      <c r="E52" s="240">
        <v>84.65</v>
      </c>
      <c r="F52" s="239">
        <v>29.866802096077933</v>
      </c>
      <c r="G52" s="241">
        <v>43897.86647519769</v>
      </c>
      <c r="H52" s="240">
        <v>6.44</v>
      </c>
      <c r="I52" s="240">
        <v>7.915</v>
      </c>
      <c r="J52" s="239">
        <v>3.1354236157438291</v>
      </c>
      <c r="K52" s="116">
        <v>84306.14</v>
      </c>
      <c r="L52" s="112">
        <v>2.3938872821074025E-2</v>
      </c>
      <c r="M52" s="242">
        <v>498</v>
      </c>
      <c r="N52" s="112">
        <v>2.9000000000000001E-2</v>
      </c>
      <c r="O52" s="112">
        <v>3.4000000000000002E-2</v>
      </c>
      <c r="P52" s="23">
        <v>6.5565211917296556E-3</v>
      </c>
      <c r="Q52" s="24">
        <v>7.6303496702164724E-3</v>
      </c>
      <c r="R52" s="23">
        <v>6.3535653934916891E-3</v>
      </c>
      <c r="S52" s="24">
        <v>7.643101731459467E-3</v>
      </c>
      <c r="T52" s="23">
        <v>4.951918362780563E-3</v>
      </c>
      <c r="U52" s="25">
        <v>6.7650408784539953E-3</v>
      </c>
    </row>
    <row r="53" spans="1:21">
      <c r="A53" s="248">
        <v>118</v>
      </c>
      <c r="B53" s="14" t="s">
        <v>62</v>
      </c>
      <c r="C53" s="15" t="s">
        <v>68</v>
      </c>
      <c r="D53" s="239">
        <v>2.25</v>
      </c>
      <c r="E53" s="240">
        <v>84.41</v>
      </c>
      <c r="F53" s="239">
        <v>15.035951579138983</v>
      </c>
      <c r="G53" s="241">
        <v>69353.135084250243</v>
      </c>
      <c r="H53" s="240">
        <v>4.04</v>
      </c>
      <c r="I53" s="240">
        <v>5.24</v>
      </c>
      <c r="J53" s="239">
        <v>3.1354236157438291</v>
      </c>
      <c r="K53" s="116">
        <v>137984.76999999999</v>
      </c>
      <c r="L53" s="112">
        <v>2.3938872821074025E-2</v>
      </c>
      <c r="M53" s="242">
        <v>498</v>
      </c>
      <c r="N53" s="112">
        <v>2.9000000000000001E-2</v>
      </c>
      <c r="O53" s="112">
        <v>3.4000000000000002E-2</v>
      </c>
      <c r="P53" s="23">
        <v>3.2299170842727339E-3</v>
      </c>
      <c r="Q53" s="24">
        <v>7.5944217716314988E-3</v>
      </c>
      <c r="R53" s="23">
        <v>4.9153326435510333E-3</v>
      </c>
      <c r="S53" s="24">
        <v>7.6117717646721587E-3</v>
      </c>
      <c r="T53" s="23">
        <v>4.951918362780563E-3</v>
      </c>
      <c r="U53" s="25">
        <v>5.7044540803562497E-3</v>
      </c>
    </row>
    <row r="54" spans="1:21">
      <c r="A54" s="248">
        <v>121</v>
      </c>
      <c r="B54" s="14" t="s">
        <v>62</v>
      </c>
      <c r="C54" s="15" t="s">
        <v>69</v>
      </c>
      <c r="D54" s="239">
        <v>2.39</v>
      </c>
      <c r="E54" s="240">
        <v>102.95</v>
      </c>
      <c r="F54" s="239">
        <v>14.933854212909527</v>
      </c>
      <c r="G54" s="241">
        <v>60055.593944140215</v>
      </c>
      <c r="H54" s="240">
        <v>3.6</v>
      </c>
      <c r="I54" s="240">
        <v>4.97</v>
      </c>
      <c r="J54" s="239">
        <v>3.1354236157438291</v>
      </c>
      <c r="K54" s="116">
        <v>82361.86</v>
      </c>
      <c r="L54" s="112">
        <v>2.3938872821074025E-2</v>
      </c>
      <c r="M54" s="242">
        <v>498</v>
      </c>
      <c r="N54" s="112">
        <v>2.9000000000000001E-2</v>
      </c>
      <c r="O54" s="112">
        <v>3.4000000000000002E-2</v>
      </c>
      <c r="P54" s="23">
        <v>3.251080855754027E-3</v>
      </c>
      <c r="Q54" s="24">
        <v>7.6075444426314306E-3</v>
      </c>
      <c r="R54" s="23">
        <v>4.7347805458008889E-3</v>
      </c>
      <c r="S54" s="24">
        <v>7.6442365262153174E-3</v>
      </c>
      <c r="T54" s="23">
        <v>4.951918362780563E-3</v>
      </c>
      <c r="U54" s="25">
        <v>5.6529601020967601E-3</v>
      </c>
    </row>
    <row r="55" spans="1:21">
      <c r="A55" s="248">
        <v>89</v>
      </c>
      <c r="B55" s="14" t="s">
        <v>70</v>
      </c>
      <c r="C55" s="15" t="s">
        <v>71</v>
      </c>
      <c r="D55" s="239">
        <v>4.55</v>
      </c>
      <c r="E55" s="240">
        <v>81.2</v>
      </c>
      <c r="F55" s="239">
        <v>27.466842253786098</v>
      </c>
      <c r="G55" s="241">
        <v>55237.794579954585</v>
      </c>
      <c r="H55" s="240">
        <v>6.7</v>
      </c>
      <c r="I55" s="240">
        <v>8.745000000000001</v>
      </c>
      <c r="J55" s="239">
        <v>2.8073860836639954</v>
      </c>
      <c r="K55" s="116">
        <v>93028.53</v>
      </c>
      <c r="L55" s="112">
        <v>2.5117559353136826E-2</v>
      </c>
      <c r="M55" s="242">
        <v>245</v>
      </c>
      <c r="N55" s="112">
        <v>2.3E-2</v>
      </c>
      <c r="O55" s="112">
        <v>2.9000000000000001E-2</v>
      </c>
      <c r="P55" s="23">
        <v>5.3803479275688721E-3</v>
      </c>
      <c r="Q55" s="24">
        <v>7.6143443475791099E-3</v>
      </c>
      <c r="R55" s="23">
        <v>6.4812182788601749E-3</v>
      </c>
      <c r="S55" s="24">
        <v>7.6380108379510833E-3</v>
      </c>
      <c r="T55" s="23">
        <v>3.5026876219161345E-3</v>
      </c>
      <c r="U55" s="25">
        <v>6.4711562114550519E-3</v>
      </c>
    </row>
    <row r="56" spans="1:21">
      <c r="A56" s="248">
        <v>103</v>
      </c>
      <c r="B56" s="14" t="s">
        <v>70</v>
      </c>
      <c r="C56" s="15" t="s">
        <v>72</v>
      </c>
      <c r="D56" s="239">
        <v>7.14</v>
      </c>
      <c r="E56" s="240">
        <v>86.67</v>
      </c>
      <c r="F56" s="239">
        <v>19.905717761557177</v>
      </c>
      <c r="G56" s="241">
        <v>52002.947036629535</v>
      </c>
      <c r="H56" s="240">
        <v>5.18</v>
      </c>
      <c r="I56" s="240">
        <v>6.835</v>
      </c>
      <c r="J56" s="239">
        <v>2.8073860836639954</v>
      </c>
      <c r="K56" s="116">
        <v>200588.79999999999</v>
      </c>
      <c r="L56" s="112">
        <v>2.5117559353136826E-2</v>
      </c>
      <c r="M56" s="242">
        <v>245</v>
      </c>
      <c r="N56" s="112">
        <v>2.3E-2</v>
      </c>
      <c r="O56" s="112">
        <v>2.9000000000000001E-2</v>
      </c>
      <c r="P56" s="23">
        <v>5.078993625502186E-3</v>
      </c>
      <c r="Q56" s="24">
        <v>7.6189100536519627E-3</v>
      </c>
      <c r="R56" s="23">
        <v>5.4889421052497639E-3</v>
      </c>
      <c r="S56" s="24">
        <v>7.5752324159471321E-3</v>
      </c>
      <c r="T56" s="23">
        <v>3.5026876219161345E-3</v>
      </c>
      <c r="U56" s="25">
        <v>6.0785335060592697E-3</v>
      </c>
    </row>
    <row r="57" spans="1:21">
      <c r="A57" s="248">
        <v>114</v>
      </c>
      <c r="B57" s="14" t="s">
        <v>70</v>
      </c>
      <c r="C57" s="15" t="s">
        <v>73</v>
      </c>
      <c r="D57" s="239">
        <v>6.67</v>
      </c>
      <c r="E57" s="240">
        <v>86.41</v>
      </c>
      <c r="F57" s="239">
        <v>17.638646114730655</v>
      </c>
      <c r="G57" s="241">
        <v>61443.988350595595</v>
      </c>
      <c r="H57" s="240">
        <v>4.29</v>
      </c>
      <c r="I57" s="240">
        <v>5.8149999999999995</v>
      </c>
      <c r="J57" s="239">
        <v>2.8073860836639954</v>
      </c>
      <c r="K57" s="116">
        <v>153777.20000000001</v>
      </c>
      <c r="L57" s="112">
        <v>2.5117559353136826E-2</v>
      </c>
      <c r="M57" s="242">
        <v>245</v>
      </c>
      <c r="N57" s="112">
        <v>2.3E-2</v>
      </c>
      <c r="O57" s="112">
        <v>2.9000000000000001E-2</v>
      </c>
      <c r="P57" s="23">
        <v>4.67411220343995E-3</v>
      </c>
      <c r="Q57" s="24">
        <v>7.6055848446323999E-3</v>
      </c>
      <c r="R57" s="23">
        <v>4.9450301963860025E-3</v>
      </c>
      <c r="S57" s="24">
        <v>7.6025543851043322E-3</v>
      </c>
      <c r="T57" s="23">
        <v>3.5026876219161345E-3</v>
      </c>
      <c r="U57" s="25">
        <v>5.8228505268202672E-3</v>
      </c>
    </row>
    <row r="58" spans="1:21">
      <c r="A58" s="248">
        <v>80</v>
      </c>
      <c r="B58" s="14" t="s">
        <v>70</v>
      </c>
      <c r="C58" s="15" t="s">
        <v>74</v>
      </c>
      <c r="D58" s="239">
        <v>8.44</v>
      </c>
      <c r="E58" s="240">
        <v>85.01</v>
      </c>
      <c r="F58" s="239">
        <v>39.101554183521394</v>
      </c>
      <c r="G58" s="241">
        <v>35550.042138920595</v>
      </c>
      <c r="H58" s="240">
        <v>7.4</v>
      </c>
      <c r="I58" s="240">
        <v>8.870000000000001</v>
      </c>
      <c r="J58" s="239">
        <v>2.8073860836639954</v>
      </c>
      <c r="K58" s="116">
        <v>81626.81</v>
      </c>
      <c r="L58" s="112">
        <v>2.5117559353136826E-2</v>
      </c>
      <c r="M58" s="242">
        <v>245</v>
      </c>
      <c r="N58" s="112">
        <v>2.3E-2</v>
      </c>
      <c r="O58" s="112">
        <v>2.9000000000000001E-2</v>
      </c>
      <c r="P58" s="23">
        <v>7.8311059180873922E-3</v>
      </c>
      <c r="Q58" s="24">
        <v>7.6421318985152656E-3</v>
      </c>
      <c r="R58" s="23">
        <v>6.6536095552685946E-3</v>
      </c>
      <c r="S58" s="24">
        <v>7.6446655440961207E-3</v>
      </c>
      <c r="T58" s="23">
        <v>3.5026876219161345E-3</v>
      </c>
      <c r="U58" s="25">
        <v>6.9485262686040782E-3</v>
      </c>
    </row>
    <row r="59" spans="1:21">
      <c r="A59" s="248">
        <v>127</v>
      </c>
      <c r="B59" s="14" t="s">
        <v>70</v>
      </c>
      <c r="C59" s="15" t="s">
        <v>75</v>
      </c>
      <c r="D59" s="239">
        <v>5.9</v>
      </c>
      <c r="E59" s="240">
        <v>83.49</v>
      </c>
      <c r="F59" s="239">
        <v>14.090909090909092</v>
      </c>
      <c r="G59" s="241">
        <v>88034.930533867577</v>
      </c>
      <c r="H59" s="240">
        <v>3.34</v>
      </c>
      <c r="I59" s="240">
        <v>4.6050000000000004</v>
      </c>
      <c r="J59" s="239">
        <v>2.8073860836639954</v>
      </c>
      <c r="K59" s="116">
        <v>201101.71</v>
      </c>
      <c r="L59" s="112">
        <v>2.5117559353136826E-2</v>
      </c>
      <c r="M59" s="242">
        <v>245</v>
      </c>
      <c r="N59" s="112">
        <v>2.3E-2</v>
      </c>
      <c r="O59" s="112">
        <v>2.9000000000000001E-2</v>
      </c>
      <c r="P59" s="23">
        <v>4.0319799204273027E-3</v>
      </c>
      <c r="Q59" s="24">
        <v>7.5680540415317896E-3</v>
      </c>
      <c r="R59" s="23">
        <v>4.3187293603751103E-3</v>
      </c>
      <c r="S59" s="24">
        <v>7.5749330518749703E-3</v>
      </c>
      <c r="T59" s="23">
        <v>3.5026876219161345E-3</v>
      </c>
      <c r="U59" s="25">
        <v>5.4874812713476256E-3</v>
      </c>
    </row>
    <row r="60" spans="1:21">
      <c r="A60" s="248">
        <v>126</v>
      </c>
      <c r="B60" s="14" t="s">
        <v>70</v>
      </c>
      <c r="C60" s="15" t="s">
        <v>76</v>
      </c>
      <c r="D60" s="239">
        <v>5.52</v>
      </c>
      <c r="E60" s="240">
        <v>81.92</v>
      </c>
      <c r="F60" s="239">
        <v>16.44736842105263</v>
      </c>
      <c r="G60" s="241">
        <v>89015</v>
      </c>
      <c r="H60" s="240">
        <v>3.56</v>
      </c>
      <c r="I60" s="240">
        <v>4.4800000000000004</v>
      </c>
      <c r="J60" s="239">
        <v>2.8073860836639954</v>
      </c>
      <c r="K60" s="116">
        <v>329947.68</v>
      </c>
      <c r="L60" s="112">
        <v>2.5117559353136826E-2</v>
      </c>
      <c r="M60" s="242">
        <v>245</v>
      </c>
      <c r="N60" s="112">
        <v>2.3E-2</v>
      </c>
      <c r="O60" s="112">
        <v>2.9000000000000001E-2</v>
      </c>
      <c r="P60" s="23">
        <v>4.2337187837084619E-3</v>
      </c>
      <c r="Q60" s="24">
        <v>7.5666707586866449E-3</v>
      </c>
      <c r="R60" s="23">
        <v>4.3109537691800107E-3</v>
      </c>
      <c r="S60" s="24">
        <v>7.4997310588140707E-3</v>
      </c>
      <c r="T60" s="23">
        <v>3.5026876219161345E-3</v>
      </c>
      <c r="U60" s="25">
        <v>5.5123935057780175E-3</v>
      </c>
    </row>
    <row r="61" spans="1:21">
      <c r="A61" s="248">
        <v>120</v>
      </c>
      <c r="B61" s="14" t="s">
        <v>70</v>
      </c>
      <c r="C61" s="15" t="s">
        <v>77</v>
      </c>
      <c r="D61" s="239">
        <v>4.8499999999999996</v>
      </c>
      <c r="E61" s="240">
        <v>84.91</v>
      </c>
      <c r="F61" s="239">
        <v>18.253571230059475</v>
      </c>
      <c r="G61" s="241">
        <v>68119.674369766071</v>
      </c>
      <c r="H61" s="240">
        <v>4.03</v>
      </c>
      <c r="I61" s="240">
        <v>5.3849999999999998</v>
      </c>
      <c r="J61" s="239">
        <v>2.8073860836639954</v>
      </c>
      <c r="K61" s="116">
        <v>147225.70000000001</v>
      </c>
      <c r="L61" s="112">
        <v>2.5117559353136826E-2</v>
      </c>
      <c r="M61" s="242">
        <v>245</v>
      </c>
      <c r="N61" s="112">
        <v>2.3E-2</v>
      </c>
      <c r="O61" s="112">
        <v>2.9000000000000001E-2</v>
      </c>
      <c r="P61" s="23">
        <v>4.2924598203649949E-3</v>
      </c>
      <c r="Q61" s="24">
        <v>7.5961626941940981E-3</v>
      </c>
      <c r="R61" s="23">
        <v>4.7363460444956162E-3</v>
      </c>
      <c r="S61" s="24">
        <v>7.6063782210965521E-3</v>
      </c>
      <c r="T61" s="23">
        <v>3.5026876219161345E-3</v>
      </c>
      <c r="U61" s="25">
        <v>5.6850933492528831E-3</v>
      </c>
    </row>
    <row r="62" spans="1:21">
      <c r="A62" s="248">
        <v>28</v>
      </c>
      <c r="B62" s="14" t="s">
        <v>78</v>
      </c>
      <c r="C62" s="15" t="s">
        <v>322</v>
      </c>
      <c r="D62" s="239">
        <v>10.78</v>
      </c>
      <c r="E62" s="240">
        <v>84.25</v>
      </c>
      <c r="F62" s="239">
        <v>50.479110770410117</v>
      </c>
      <c r="G62" s="241">
        <v>25530.027172177135</v>
      </c>
      <c r="H62" s="240">
        <v>10.85</v>
      </c>
      <c r="I62" s="240">
        <v>12.364999999999998</v>
      </c>
      <c r="J62" s="239">
        <v>4.8734745628400864</v>
      </c>
      <c r="K62" s="116">
        <v>63908.07</v>
      </c>
      <c r="L62" s="112">
        <v>4.0725744972809973E-2</v>
      </c>
      <c r="M62" s="242">
        <v>1275</v>
      </c>
      <c r="N62" s="112">
        <v>4.5999999999999999E-2</v>
      </c>
      <c r="O62" s="112">
        <v>5.0999999999999997E-2</v>
      </c>
      <c r="P62" s="23">
        <v>9.8584597770913079E-3</v>
      </c>
      <c r="Q62" s="24">
        <v>7.6562742785103079E-3</v>
      </c>
      <c r="R62" s="23">
        <v>1.0049414989048924E-2</v>
      </c>
      <c r="S62" s="24">
        <v>7.6550072300838766E-3</v>
      </c>
      <c r="T62" s="23">
        <v>1.0069312852671299E-2</v>
      </c>
      <c r="U62" s="25">
        <v>9.0673939717146271E-3</v>
      </c>
    </row>
    <row r="63" spans="1:21">
      <c r="A63" s="248">
        <v>30</v>
      </c>
      <c r="B63" s="14" t="s">
        <v>78</v>
      </c>
      <c r="C63" s="15" t="s">
        <v>323</v>
      </c>
      <c r="D63" s="239">
        <v>14.9</v>
      </c>
      <c r="E63" s="240">
        <v>84.36</v>
      </c>
      <c r="F63" s="239">
        <v>47.263069443610824</v>
      </c>
      <c r="G63" s="241">
        <v>28421.211145755147</v>
      </c>
      <c r="H63" s="240">
        <v>9.26</v>
      </c>
      <c r="I63" s="240">
        <v>11.715</v>
      </c>
      <c r="J63" s="239">
        <v>4.8734745628400864</v>
      </c>
      <c r="K63" s="116">
        <v>69433.490000000005</v>
      </c>
      <c r="L63" s="112">
        <v>4.0725744972809973E-2</v>
      </c>
      <c r="M63" s="242">
        <v>1275</v>
      </c>
      <c r="N63" s="112">
        <v>4.5999999999999999E-2</v>
      </c>
      <c r="O63" s="112">
        <v>5.0999999999999997E-2</v>
      </c>
      <c r="P63" s="23">
        <v>1.0492329904250173E-2</v>
      </c>
      <c r="Q63" s="24">
        <v>7.6521936236883716E-3</v>
      </c>
      <c r="R63" s="23">
        <v>9.5197870416026485E-3</v>
      </c>
      <c r="S63" s="24">
        <v>7.6517822739870841E-3</v>
      </c>
      <c r="T63" s="23">
        <v>1.0069312852671299E-2</v>
      </c>
      <c r="U63" s="25">
        <v>8.9906310054275948E-3</v>
      </c>
    </row>
    <row r="64" spans="1:21">
      <c r="A64" s="248">
        <v>31</v>
      </c>
      <c r="B64" s="14" t="s">
        <v>78</v>
      </c>
      <c r="C64" s="15" t="s">
        <v>79</v>
      </c>
      <c r="D64" s="239">
        <v>13.26</v>
      </c>
      <c r="E64" s="240">
        <v>85.52</v>
      </c>
      <c r="F64" s="239">
        <v>49.731249777524653</v>
      </c>
      <c r="G64" s="241">
        <v>30371.402269660004</v>
      </c>
      <c r="H64" s="240">
        <v>8.67</v>
      </c>
      <c r="I64" s="240">
        <v>10.265000000000001</v>
      </c>
      <c r="J64" s="239">
        <v>4.8734745628400864</v>
      </c>
      <c r="K64" s="116">
        <v>63106.83</v>
      </c>
      <c r="L64" s="112">
        <v>4.0725744972809973E-2</v>
      </c>
      <c r="M64" s="242">
        <v>1275</v>
      </c>
      <c r="N64" s="112">
        <v>4.5999999999999999E-2</v>
      </c>
      <c r="O64" s="112">
        <v>5.0999999999999997E-2</v>
      </c>
      <c r="P64" s="23">
        <v>1.0389938853253167E-2</v>
      </c>
      <c r="Q64" s="24">
        <v>7.6494410984647302E-3</v>
      </c>
      <c r="R64" s="23">
        <v>8.8673918327174788E-3</v>
      </c>
      <c r="S64" s="24">
        <v>7.6554748802938142E-3</v>
      </c>
      <c r="T64" s="23">
        <v>1.0069312852671299E-2</v>
      </c>
      <c r="U64" s="25">
        <v>8.7499927455263332E-3</v>
      </c>
    </row>
    <row r="65" spans="1:21">
      <c r="A65" s="248">
        <v>35</v>
      </c>
      <c r="B65" s="14" t="s">
        <v>78</v>
      </c>
      <c r="C65" s="15" t="s">
        <v>80</v>
      </c>
      <c r="D65" s="239">
        <v>11.43</v>
      </c>
      <c r="E65" s="240">
        <v>85.66</v>
      </c>
      <c r="F65" s="239">
        <v>50.651983853866327</v>
      </c>
      <c r="G65" s="241">
        <v>31245.090557358908</v>
      </c>
      <c r="H65" s="240">
        <v>8.1300000000000008</v>
      </c>
      <c r="I65" s="240">
        <v>9.8849999999999998</v>
      </c>
      <c r="J65" s="239">
        <v>4.8734745628400864</v>
      </c>
      <c r="K65" s="116">
        <v>59139.41</v>
      </c>
      <c r="L65" s="112">
        <v>4.0725744972809973E-2</v>
      </c>
      <c r="M65" s="242">
        <v>1275</v>
      </c>
      <c r="N65" s="112">
        <v>4.5999999999999999E-2</v>
      </c>
      <c r="O65" s="112">
        <v>5.0999999999999997E-2</v>
      </c>
      <c r="P65" s="23">
        <v>1.0044263190280315E-2</v>
      </c>
      <c r="Q65" s="24">
        <v>7.6482079634042676E-3</v>
      </c>
      <c r="R65" s="23">
        <v>8.6274633395214823E-3</v>
      </c>
      <c r="S65" s="24">
        <v>7.65779049708268E-3</v>
      </c>
      <c r="T65" s="23">
        <v>1.0069312852671299E-2</v>
      </c>
      <c r="U65" s="25">
        <v>8.6100911326693411E-3</v>
      </c>
    </row>
    <row r="66" spans="1:21">
      <c r="A66" s="248">
        <v>42</v>
      </c>
      <c r="B66" s="14" t="s">
        <v>78</v>
      </c>
      <c r="C66" s="15" t="s">
        <v>81</v>
      </c>
      <c r="D66" s="239">
        <v>13.49</v>
      </c>
      <c r="E66" s="240">
        <v>85.98</v>
      </c>
      <c r="F66" s="239">
        <v>47.044157207532315</v>
      </c>
      <c r="G66" s="241">
        <v>31966.927904872642</v>
      </c>
      <c r="H66" s="240">
        <v>7.06</v>
      </c>
      <c r="I66" s="240">
        <v>8.6649999999999991</v>
      </c>
      <c r="J66" s="239">
        <v>4.8734745628400864</v>
      </c>
      <c r="K66" s="116">
        <v>63612.84</v>
      </c>
      <c r="L66" s="112">
        <v>4.0725744972809973E-2</v>
      </c>
      <c r="M66" s="242">
        <v>1275</v>
      </c>
      <c r="N66" s="112">
        <v>4.5999999999999999E-2</v>
      </c>
      <c r="O66" s="112">
        <v>5.0999999999999997E-2</v>
      </c>
      <c r="P66" s="23">
        <v>1.0108664993529807E-2</v>
      </c>
      <c r="Q66" s="24">
        <v>7.6471891527440999E-3</v>
      </c>
      <c r="R66" s="23">
        <v>7.9759196754700321E-3</v>
      </c>
      <c r="S66" s="24">
        <v>7.6551795434624892E-3</v>
      </c>
      <c r="T66" s="23">
        <v>1.0069312852671299E-2</v>
      </c>
      <c r="U66" s="25">
        <v>8.3976646908057902E-3</v>
      </c>
    </row>
    <row r="67" spans="1:21">
      <c r="A67" s="248">
        <v>54</v>
      </c>
      <c r="B67" s="14" t="s">
        <v>78</v>
      </c>
      <c r="C67" s="15" t="s">
        <v>82</v>
      </c>
      <c r="D67" s="239">
        <v>4.1100000000000003</v>
      </c>
      <c r="E67" s="240">
        <v>88.21</v>
      </c>
      <c r="F67" s="239">
        <v>29.392570281124499</v>
      </c>
      <c r="G67" s="241">
        <v>35491.548435274912</v>
      </c>
      <c r="H67" s="240">
        <v>7.84</v>
      </c>
      <c r="I67" s="240">
        <v>9.6850000000000005</v>
      </c>
      <c r="J67" s="239">
        <v>4.8734745628400864</v>
      </c>
      <c r="K67" s="116">
        <v>60311.44</v>
      </c>
      <c r="L67" s="112">
        <v>4.0725744972809973E-2</v>
      </c>
      <c r="M67" s="242">
        <v>1275</v>
      </c>
      <c r="N67" s="112">
        <v>4.5999999999999999E-2</v>
      </c>
      <c r="O67" s="112">
        <v>5.0999999999999997E-2</v>
      </c>
      <c r="P67" s="23">
        <v>5.511959542841758E-3</v>
      </c>
      <c r="Q67" s="24">
        <v>7.6422144572925749E-3</v>
      </c>
      <c r="R67" s="23">
        <v>8.5001492741452449E-3</v>
      </c>
      <c r="S67" s="24">
        <v>7.6571064322886687E-3</v>
      </c>
      <c r="T67" s="23">
        <v>1.0069312852671299E-2</v>
      </c>
      <c r="U67" s="25">
        <v>7.8082263548185918E-3</v>
      </c>
    </row>
    <row r="68" spans="1:21">
      <c r="A68" s="248">
        <v>41</v>
      </c>
      <c r="B68" s="14" t="s">
        <v>78</v>
      </c>
      <c r="C68" s="15" t="s">
        <v>83</v>
      </c>
      <c r="D68" s="239">
        <v>7.95</v>
      </c>
      <c r="E68" s="240">
        <v>85.08</v>
      </c>
      <c r="F68" s="239">
        <v>52.705192223784358</v>
      </c>
      <c r="G68" s="241">
        <v>30302.515152026659</v>
      </c>
      <c r="H68" s="240">
        <v>8.01</v>
      </c>
      <c r="I68" s="240">
        <v>9.3049999999999997</v>
      </c>
      <c r="J68" s="239">
        <v>4.8734745628400864</v>
      </c>
      <c r="K68" s="116">
        <v>55757.16</v>
      </c>
      <c r="L68" s="112">
        <v>4.0725744972809973E-2</v>
      </c>
      <c r="M68" s="242">
        <v>1275</v>
      </c>
      <c r="N68" s="112">
        <v>4.5999999999999999E-2</v>
      </c>
      <c r="O68" s="112">
        <v>5.0999999999999997E-2</v>
      </c>
      <c r="P68" s="23">
        <v>9.4251431803389005E-3</v>
      </c>
      <c r="Q68" s="24">
        <v>7.6495383266422896E-3</v>
      </c>
      <c r="R68" s="23">
        <v>8.3872611467117018E-3</v>
      </c>
      <c r="S68" s="24">
        <v>7.6597645746656288E-3</v>
      </c>
      <c r="T68" s="23">
        <v>1.0069312852671299E-2</v>
      </c>
      <c r="U68" s="25">
        <v>8.4252636099154711E-3</v>
      </c>
    </row>
    <row r="69" spans="1:21">
      <c r="A69" s="248">
        <v>26</v>
      </c>
      <c r="B69" s="14" t="s">
        <v>84</v>
      </c>
      <c r="C69" s="15" t="s">
        <v>85</v>
      </c>
      <c r="D69" s="239">
        <v>13.25</v>
      </c>
      <c r="E69" s="240">
        <v>85.41</v>
      </c>
      <c r="F69" s="239">
        <v>48.202426038750758</v>
      </c>
      <c r="G69" s="241">
        <v>32240.757879832585</v>
      </c>
      <c r="H69" s="240">
        <v>9.1300000000000008</v>
      </c>
      <c r="I69" s="240">
        <v>11.34</v>
      </c>
      <c r="J69" s="239">
        <v>5.5691431542133367</v>
      </c>
      <c r="K69" s="116">
        <v>58692.95</v>
      </c>
      <c r="L69" s="112">
        <v>4.7766711161310198E-2</v>
      </c>
      <c r="M69" s="242">
        <v>2027</v>
      </c>
      <c r="N69" s="112">
        <v>5.3999999999999999E-2</v>
      </c>
      <c r="O69" s="112">
        <v>5.7000000000000002E-2</v>
      </c>
      <c r="P69" s="23">
        <v>1.0194378146331397E-2</v>
      </c>
      <c r="Q69" s="24">
        <v>7.6468026655409603E-3</v>
      </c>
      <c r="R69" s="23">
        <v>9.8468528649597528E-3</v>
      </c>
      <c r="S69" s="24">
        <v>7.6580510770746027E-3</v>
      </c>
      <c r="T69" s="23">
        <v>1.4144509796954913E-2</v>
      </c>
      <c r="U69" s="25">
        <v>9.4329207252862243E-3</v>
      </c>
    </row>
    <row r="70" spans="1:21">
      <c r="A70" s="248">
        <v>25</v>
      </c>
      <c r="B70" s="14" t="s">
        <v>84</v>
      </c>
      <c r="C70" s="15" t="s">
        <v>86</v>
      </c>
      <c r="D70" s="239">
        <v>16.89</v>
      </c>
      <c r="E70" s="240">
        <v>84.44</v>
      </c>
      <c r="F70" s="239">
        <v>51.406826568265686</v>
      </c>
      <c r="G70" s="241">
        <v>28304.777621117308</v>
      </c>
      <c r="H70" s="240">
        <v>8.36</v>
      </c>
      <c r="I70" s="240">
        <v>10.405000000000001</v>
      </c>
      <c r="J70" s="239">
        <v>5.5691431542133367</v>
      </c>
      <c r="K70" s="116">
        <v>53886.73</v>
      </c>
      <c r="L70" s="112">
        <v>4.7766711161310198E-2</v>
      </c>
      <c r="M70" s="242">
        <v>2027</v>
      </c>
      <c r="N70" s="112">
        <v>5.3999999999999999E-2</v>
      </c>
      <c r="O70" s="112">
        <v>5.7000000000000002E-2</v>
      </c>
      <c r="P70" s="23">
        <v>1.1517869217341008E-2</v>
      </c>
      <c r="Q70" s="24">
        <v>7.6523579594857784E-3</v>
      </c>
      <c r="R70" s="23">
        <v>9.3564679110798681E-3</v>
      </c>
      <c r="S70" s="24">
        <v>7.6608562662713563E-3</v>
      </c>
      <c r="T70" s="23">
        <v>1.4144509796954913E-2</v>
      </c>
      <c r="U70" s="25">
        <v>9.4882173700672444E-3</v>
      </c>
    </row>
    <row r="71" spans="1:21">
      <c r="A71" s="248">
        <v>13</v>
      </c>
      <c r="B71" s="14" t="s">
        <v>84</v>
      </c>
      <c r="C71" s="15" t="s">
        <v>87</v>
      </c>
      <c r="D71" s="239">
        <v>15.09</v>
      </c>
      <c r="E71" s="240">
        <v>84.27</v>
      </c>
      <c r="F71" s="239">
        <v>55.626594229304004</v>
      </c>
      <c r="G71" s="241">
        <v>26487.127214945063</v>
      </c>
      <c r="H71" s="240">
        <v>11.29</v>
      </c>
      <c r="I71" s="240">
        <v>13.5</v>
      </c>
      <c r="J71" s="239">
        <v>5.5691431542133367</v>
      </c>
      <c r="K71" s="116">
        <v>50371.49</v>
      </c>
      <c r="L71" s="112">
        <v>4.7766711161310198E-2</v>
      </c>
      <c r="M71" s="242">
        <v>2027</v>
      </c>
      <c r="N71" s="112">
        <v>5.3999999999999999E-2</v>
      </c>
      <c r="O71" s="112">
        <v>5.7000000000000002E-2</v>
      </c>
      <c r="P71" s="23">
        <v>1.1596355591380104E-2</v>
      </c>
      <c r="Q71" s="24">
        <v>7.6549234150093031E-3</v>
      </c>
      <c r="R71" s="23">
        <v>1.1047924720993391E-2</v>
      </c>
      <c r="S71" s="24">
        <v>7.6629079645440098E-3</v>
      </c>
      <c r="T71" s="23">
        <v>1.4144509796954913E-2</v>
      </c>
      <c r="U71" s="25">
        <v>1.0080311715621074E-2</v>
      </c>
    </row>
    <row r="72" spans="1:21">
      <c r="A72" s="248">
        <v>21</v>
      </c>
      <c r="B72" s="14" t="s">
        <v>84</v>
      </c>
      <c r="C72" s="15" t="s">
        <v>88</v>
      </c>
      <c r="D72" s="239">
        <v>18.13</v>
      </c>
      <c r="E72" s="240">
        <v>84.54</v>
      </c>
      <c r="F72" s="239">
        <v>55.851786159687386</v>
      </c>
      <c r="G72" s="241">
        <v>28128.119823861882</v>
      </c>
      <c r="H72" s="240">
        <v>8.9</v>
      </c>
      <c r="I72" s="240">
        <v>10.815000000000001</v>
      </c>
      <c r="J72" s="239">
        <v>5.5691431542133367</v>
      </c>
      <c r="K72" s="116">
        <v>53391.4</v>
      </c>
      <c r="L72" s="112">
        <v>4.7766711161310198E-2</v>
      </c>
      <c r="M72" s="242">
        <v>2027</v>
      </c>
      <c r="N72" s="112">
        <v>5.3999999999999999E-2</v>
      </c>
      <c r="O72" s="112">
        <v>5.7000000000000002E-2</v>
      </c>
      <c r="P72" s="23">
        <v>1.2392125632628122E-2</v>
      </c>
      <c r="Q72" s="24">
        <v>7.6526072966081439E-3</v>
      </c>
      <c r="R72" s="23">
        <v>9.6077100550531931E-3</v>
      </c>
      <c r="S72" s="24">
        <v>7.661145369634254E-3</v>
      </c>
      <c r="T72" s="23">
        <v>1.4144509796954913E-2</v>
      </c>
      <c r="U72" s="25">
        <v>9.7200756769624842E-3</v>
      </c>
    </row>
    <row r="73" spans="1:21">
      <c r="A73" s="248">
        <v>16</v>
      </c>
      <c r="B73" s="14" t="s">
        <v>84</v>
      </c>
      <c r="C73" s="15" t="s">
        <v>89</v>
      </c>
      <c r="D73" s="239">
        <v>17.829999999999998</v>
      </c>
      <c r="E73" s="240">
        <v>84.03</v>
      </c>
      <c r="F73" s="239">
        <v>59.108786131581965</v>
      </c>
      <c r="G73" s="241">
        <v>26011.611799613318</v>
      </c>
      <c r="H73" s="240">
        <v>9.98</v>
      </c>
      <c r="I73" s="240">
        <v>11.785</v>
      </c>
      <c r="J73" s="239">
        <v>5.5691431542133367</v>
      </c>
      <c r="K73" s="116">
        <v>50154.26</v>
      </c>
      <c r="L73" s="112">
        <v>4.7766711161310198E-2</v>
      </c>
      <c r="M73" s="242">
        <v>2027</v>
      </c>
      <c r="N73" s="112">
        <v>5.3999999999999999E-2</v>
      </c>
      <c r="O73" s="112">
        <v>5.7000000000000002E-2</v>
      </c>
      <c r="P73" s="23">
        <v>1.2727695663695037E-2</v>
      </c>
      <c r="Q73" s="24">
        <v>7.6555945636771873E-3</v>
      </c>
      <c r="R73" s="23">
        <v>1.0166762596886477E-2</v>
      </c>
      <c r="S73" s="24">
        <v>7.663034752591418E-3</v>
      </c>
      <c r="T73" s="23">
        <v>1.4144509796954913E-2</v>
      </c>
      <c r="U73" s="25">
        <v>9.9682256364620192E-3</v>
      </c>
    </row>
    <row r="74" spans="1:21">
      <c r="A74" s="248">
        <v>32</v>
      </c>
      <c r="B74" s="14" t="s">
        <v>84</v>
      </c>
      <c r="C74" s="15" t="s">
        <v>90</v>
      </c>
      <c r="D74" s="239">
        <v>8.99</v>
      </c>
      <c r="E74" s="240">
        <v>85.2</v>
      </c>
      <c r="F74" s="239">
        <v>44.598636200502455</v>
      </c>
      <c r="G74" s="241">
        <v>31740.53870539305</v>
      </c>
      <c r="H74" s="240">
        <v>7.74</v>
      </c>
      <c r="I74" s="240">
        <v>8.5850000000000009</v>
      </c>
      <c r="J74" s="239">
        <v>5.5691431542133367</v>
      </c>
      <c r="K74" s="116">
        <v>53616.32</v>
      </c>
      <c r="L74" s="112">
        <v>4.7766711161310198E-2</v>
      </c>
      <c r="M74" s="242">
        <v>2027</v>
      </c>
      <c r="N74" s="112">
        <v>5.3999999999999999E-2</v>
      </c>
      <c r="O74" s="112">
        <v>5.7000000000000002E-2</v>
      </c>
      <c r="P74" s="23">
        <v>8.6640381771602003E-3</v>
      </c>
      <c r="Q74" s="24">
        <v>7.6475086814171049E-3</v>
      </c>
      <c r="R74" s="23">
        <v>8.5591697731622965E-3</v>
      </c>
      <c r="S74" s="24">
        <v>7.6610140932561171E-3</v>
      </c>
      <c r="T74" s="23">
        <v>1.4144509796954913E-2</v>
      </c>
      <c r="U74" s="25">
        <v>8.7379460353691971E-3</v>
      </c>
    </row>
    <row r="75" spans="1:21">
      <c r="A75" s="248">
        <v>22</v>
      </c>
      <c r="B75" s="14" t="s">
        <v>84</v>
      </c>
      <c r="C75" s="15" t="s">
        <v>91</v>
      </c>
      <c r="D75" s="239">
        <v>15.71</v>
      </c>
      <c r="E75" s="240">
        <v>84.69</v>
      </c>
      <c r="F75" s="239">
        <v>55.782133929746088</v>
      </c>
      <c r="G75" s="241">
        <v>28513.255985806878</v>
      </c>
      <c r="H75" s="240">
        <v>9.57</v>
      </c>
      <c r="I75" s="240">
        <v>11.135</v>
      </c>
      <c r="J75" s="239">
        <v>5.5691431542133367</v>
      </c>
      <c r="K75" s="116">
        <v>50998.55</v>
      </c>
      <c r="L75" s="112">
        <v>4.7766711161310198E-2</v>
      </c>
      <c r="M75" s="242">
        <v>2027</v>
      </c>
      <c r="N75" s="112">
        <v>5.3999999999999999E-2</v>
      </c>
      <c r="O75" s="112">
        <v>5.7000000000000002E-2</v>
      </c>
      <c r="P75" s="23">
        <v>1.1772466267159769E-2</v>
      </c>
      <c r="Q75" s="24">
        <v>7.6520637103989278E-3</v>
      </c>
      <c r="R75" s="23">
        <v>9.8482721587355455E-3</v>
      </c>
      <c r="S75" s="24">
        <v>7.6625419759006027E-3</v>
      </c>
      <c r="T75" s="23">
        <v>1.4144509796954913E-2</v>
      </c>
      <c r="U75" s="25">
        <v>9.6987997001704712E-3</v>
      </c>
    </row>
    <row r="76" spans="1:21">
      <c r="A76" s="248">
        <v>23</v>
      </c>
      <c r="B76" s="14" t="s">
        <v>92</v>
      </c>
      <c r="C76" s="15" t="s">
        <v>93</v>
      </c>
      <c r="D76" s="239">
        <v>6.09</v>
      </c>
      <c r="E76" s="240">
        <v>85.1</v>
      </c>
      <c r="F76" s="239">
        <v>61.050198542049429</v>
      </c>
      <c r="G76" s="241">
        <v>24998.38239042617</v>
      </c>
      <c r="H76" s="240">
        <v>10.27</v>
      </c>
      <c r="I76" s="240">
        <v>11.09</v>
      </c>
      <c r="J76" s="239">
        <v>6.0640408047605554</v>
      </c>
      <c r="K76" s="116">
        <v>53707.73</v>
      </c>
      <c r="L76" s="112">
        <v>6.3415453057455828E-2</v>
      </c>
      <c r="M76" s="242">
        <v>1564</v>
      </c>
      <c r="N76" s="112">
        <v>7.0000000000000007E-2</v>
      </c>
      <c r="O76" s="112">
        <v>8.2000000000000003E-2</v>
      </c>
      <c r="P76" s="23">
        <v>1.0009363951355574E-2</v>
      </c>
      <c r="Q76" s="24">
        <v>7.6570246488990596E-3</v>
      </c>
      <c r="R76" s="23">
        <v>1.030638112998683E-2</v>
      </c>
      <c r="S76" s="24">
        <v>7.6609607410698926E-3</v>
      </c>
      <c r="T76" s="23">
        <v>1.3769649467065791E-2</v>
      </c>
      <c r="U76" s="25">
        <v>9.527499798821391E-3</v>
      </c>
    </row>
    <row r="77" spans="1:21">
      <c r="A77" s="248">
        <v>10</v>
      </c>
      <c r="B77" s="14" t="s">
        <v>92</v>
      </c>
      <c r="C77" s="15" t="s">
        <v>94</v>
      </c>
      <c r="D77" s="239">
        <v>12.33</v>
      </c>
      <c r="E77" s="240">
        <v>82.17</v>
      </c>
      <c r="F77" s="239">
        <v>65.261365912277185</v>
      </c>
      <c r="G77" s="241">
        <v>25064.374033605254</v>
      </c>
      <c r="H77" s="240">
        <v>12.32</v>
      </c>
      <c r="I77" s="240">
        <v>13.4</v>
      </c>
      <c r="J77" s="239">
        <v>6.0640408047605554</v>
      </c>
      <c r="K77" s="116">
        <v>53364.35</v>
      </c>
      <c r="L77" s="112">
        <v>6.3415453057455828E-2</v>
      </c>
      <c r="M77" s="242">
        <v>1564</v>
      </c>
      <c r="N77" s="112">
        <v>7.0000000000000007E-2</v>
      </c>
      <c r="O77" s="112">
        <v>8.2000000000000003E-2</v>
      </c>
      <c r="P77" s="23">
        <v>1.2116404263875231E-2</v>
      </c>
      <c r="Q77" s="24">
        <v>7.6569315074319633E-3</v>
      </c>
      <c r="R77" s="23">
        <v>1.1544338929718557E-2</v>
      </c>
      <c r="S77" s="24">
        <v>7.6611611575856534E-3</v>
      </c>
      <c r="T77" s="23">
        <v>1.3769649467065791E-2</v>
      </c>
      <c r="U77" s="25">
        <v>1.0302160146454523E-2</v>
      </c>
    </row>
    <row r="78" spans="1:21">
      <c r="A78" s="248">
        <v>17</v>
      </c>
      <c r="B78" s="14" t="s">
        <v>92</v>
      </c>
      <c r="C78" s="15" t="s">
        <v>95</v>
      </c>
      <c r="D78" s="239">
        <v>15.36</v>
      </c>
      <c r="E78" s="240">
        <v>82.93</v>
      </c>
      <c r="F78" s="239">
        <v>58.775631500742939</v>
      </c>
      <c r="G78" s="241">
        <v>25998.218905385784</v>
      </c>
      <c r="H78" s="240">
        <v>10.11</v>
      </c>
      <c r="I78" s="240">
        <v>11.34</v>
      </c>
      <c r="J78" s="239">
        <v>6.0640408047605554</v>
      </c>
      <c r="K78" s="116">
        <v>50516.83</v>
      </c>
      <c r="L78" s="112">
        <v>6.3415453057455828E-2</v>
      </c>
      <c r="M78" s="242">
        <v>1564</v>
      </c>
      <c r="N78" s="112">
        <v>7.0000000000000007E-2</v>
      </c>
      <c r="O78" s="112">
        <v>8.2000000000000003E-2</v>
      </c>
      <c r="P78" s="23">
        <v>1.2062229483768458E-2</v>
      </c>
      <c r="Q78" s="24">
        <v>7.6556134665830252E-3</v>
      </c>
      <c r="R78" s="23">
        <v>1.0372032738311516E-2</v>
      </c>
      <c r="S78" s="24">
        <v>7.6628231356768639E-3</v>
      </c>
      <c r="T78" s="23">
        <v>1.3769649467065791E-2</v>
      </c>
      <c r="U78" s="25">
        <v>9.8922116879225867E-3</v>
      </c>
    </row>
    <row r="79" spans="1:21">
      <c r="A79" s="248">
        <v>11</v>
      </c>
      <c r="B79" s="14" t="s">
        <v>92</v>
      </c>
      <c r="C79" s="15" t="s">
        <v>96</v>
      </c>
      <c r="D79" s="239">
        <v>24.41</v>
      </c>
      <c r="E79" s="240">
        <v>83.77</v>
      </c>
      <c r="F79" s="239">
        <v>60.182238032827811</v>
      </c>
      <c r="G79" s="241">
        <v>25886.787822663809</v>
      </c>
      <c r="H79" s="240">
        <v>9.43</v>
      </c>
      <c r="I79" s="240">
        <v>11.329999999999998</v>
      </c>
      <c r="J79" s="239">
        <v>6.0640408047605554</v>
      </c>
      <c r="K79" s="116">
        <v>54568.06</v>
      </c>
      <c r="L79" s="112">
        <v>6.3415453057455828E-2</v>
      </c>
      <c r="M79" s="242">
        <v>1564</v>
      </c>
      <c r="N79" s="112">
        <v>7.0000000000000007E-2</v>
      </c>
      <c r="O79" s="112">
        <v>8.2000000000000003E-2</v>
      </c>
      <c r="P79" s="23">
        <v>1.4524175239570464E-2</v>
      </c>
      <c r="Q79" s="24">
        <v>7.6557707418685754E-3</v>
      </c>
      <c r="R79" s="23">
        <v>1.0246589058401985E-2</v>
      </c>
      <c r="S79" s="24">
        <v>7.6604586025032758E-3</v>
      </c>
      <c r="T79" s="23">
        <v>1.3769649467065791E-2</v>
      </c>
      <c r="U79" s="25">
        <v>1.0260079087453026E-2</v>
      </c>
    </row>
    <row r="80" spans="1:21">
      <c r="A80" s="248">
        <v>14</v>
      </c>
      <c r="B80" s="14" t="s">
        <v>92</v>
      </c>
      <c r="C80" s="15" t="s">
        <v>97</v>
      </c>
      <c r="D80" s="239">
        <v>23.71</v>
      </c>
      <c r="E80" s="240">
        <v>84.76</v>
      </c>
      <c r="F80" s="239">
        <v>57.133082449538144</v>
      </c>
      <c r="G80" s="241">
        <v>26567.264148777758</v>
      </c>
      <c r="H80" s="240">
        <v>8.56</v>
      </c>
      <c r="I80" s="240">
        <v>10.879999999999999</v>
      </c>
      <c r="J80" s="239">
        <v>6.0640408047605554</v>
      </c>
      <c r="K80" s="116">
        <v>51812.13</v>
      </c>
      <c r="L80" s="112">
        <v>6.3415453057455828E-2</v>
      </c>
      <c r="M80" s="242">
        <v>1564</v>
      </c>
      <c r="N80" s="112">
        <v>7.0000000000000007E-2</v>
      </c>
      <c r="O80" s="112">
        <v>8.2000000000000003E-2</v>
      </c>
      <c r="P80" s="23">
        <v>1.3962397424467974E-2</v>
      </c>
      <c r="Q80" s="24">
        <v>7.6548103086942253E-3</v>
      </c>
      <c r="R80" s="23">
        <v>9.9212151161599087E-3</v>
      </c>
      <c r="S80" s="24">
        <v>7.662067123349805E-3</v>
      </c>
      <c r="T80" s="23">
        <v>1.3769649467065791E-2</v>
      </c>
      <c r="U80" s="25">
        <v>1.0054949209831146E-2</v>
      </c>
    </row>
    <row r="81" spans="1:21">
      <c r="A81" s="248">
        <v>12</v>
      </c>
      <c r="B81" s="14" t="s">
        <v>92</v>
      </c>
      <c r="C81" s="15" t="s">
        <v>324</v>
      </c>
      <c r="D81" s="239">
        <v>19.600000000000001</v>
      </c>
      <c r="E81" s="240">
        <v>85.28</v>
      </c>
      <c r="F81" s="239">
        <v>63.022508038585208</v>
      </c>
      <c r="G81" s="241">
        <v>25753.380382685125</v>
      </c>
      <c r="H81" s="240">
        <v>9.36</v>
      </c>
      <c r="I81" s="240">
        <v>11.245000000000001</v>
      </c>
      <c r="J81" s="239">
        <v>6.0640408047605554</v>
      </c>
      <c r="K81" s="116">
        <v>42205.62</v>
      </c>
      <c r="L81" s="112">
        <v>6.3415453057455828E-2</v>
      </c>
      <c r="M81" s="242">
        <v>1564</v>
      </c>
      <c r="N81" s="112">
        <v>7.0000000000000007E-2</v>
      </c>
      <c r="O81" s="112">
        <v>8.2000000000000003E-2</v>
      </c>
      <c r="P81" s="23">
        <v>1.3668575341798224E-2</v>
      </c>
      <c r="Q81" s="24">
        <v>7.655959034871789E-3</v>
      </c>
      <c r="R81" s="23">
        <v>1.0202008608049267E-2</v>
      </c>
      <c r="S81" s="24">
        <v>7.6676740406508232E-3</v>
      </c>
      <c r="T81" s="23">
        <v>1.3769649467065791E-2</v>
      </c>
      <c r="U81" s="25">
        <v>1.0102661055107978E-2</v>
      </c>
    </row>
    <row r="82" spans="1:21">
      <c r="A82" s="248">
        <v>6</v>
      </c>
      <c r="B82" s="14" t="s">
        <v>92</v>
      </c>
      <c r="C82" s="15" t="s">
        <v>98</v>
      </c>
      <c r="D82" s="239">
        <v>31.14</v>
      </c>
      <c r="E82" s="240">
        <v>84.03</v>
      </c>
      <c r="F82" s="239">
        <v>69.125227410551844</v>
      </c>
      <c r="G82" s="241">
        <v>23478.687107608868</v>
      </c>
      <c r="H82" s="240">
        <v>9.2100000000000009</v>
      </c>
      <c r="I82" s="240">
        <v>11.09</v>
      </c>
      <c r="J82" s="239">
        <v>6.0640408047605554</v>
      </c>
      <c r="K82" s="116">
        <v>44223.66</v>
      </c>
      <c r="L82" s="112">
        <v>6.3415453057455828E-2</v>
      </c>
      <c r="M82" s="242">
        <v>1564</v>
      </c>
      <c r="N82" s="112">
        <v>7.0000000000000007E-2</v>
      </c>
      <c r="O82" s="112">
        <v>8.2000000000000003E-2</v>
      </c>
      <c r="P82" s="23">
        <v>1.7352165892011849E-2</v>
      </c>
      <c r="Q82" s="24">
        <v>7.6591695666699024E-3</v>
      </c>
      <c r="R82" s="23">
        <v>1.0116715231806267E-2</v>
      </c>
      <c r="S82" s="24">
        <v>7.6664961952740791E-3</v>
      </c>
      <c r="T82" s="23">
        <v>1.3769649467065791E-2</v>
      </c>
      <c r="U82" s="25">
        <v>1.0689197194436032E-2</v>
      </c>
    </row>
    <row r="83" spans="1:21">
      <c r="A83" s="248">
        <v>3</v>
      </c>
      <c r="B83" s="14" t="s">
        <v>99</v>
      </c>
      <c r="C83" s="15" t="s">
        <v>100</v>
      </c>
      <c r="D83" s="239">
        <v>11.79</v>
      </c>
      <c r="E83" s="240">
        <v>83.14</v>
      </c>
      <c r="F83" s="239">
        <v>71.868316529178131</v>
      </c>
      <c r="G83" s="241">
        <v>21622.884063982714</v>
      </c>
      <c r="H83" s="240">
        <v>12.9</v>
      </c>
      <c r="I83" s="240">
        <v>14.59</v>
      </c>
      <c r="J83" s="239">
        <v>6.6941894140119542</v>
      </c>
      <c r="K83" s="116">
        <v>43005.1</v>
      </c>
      <c r="L83" s="112">
        <v>6.2042490283507001E-2</v>
      </c>
      <c r="M83" s="242">
        <v>3412</v>
      </c>
      <c r="N83" s="112">
        <v>7.1999999999999995E-2</v>
      </c>
      <c r="O83" s="112">
        <v>8.2000000000000003E-2</v>
      </c>
      <c r="P83" s="23">
        <v>1.2814288600783687E-2</v>
      </c>
      <c r="Q83" s="24">
        <v>7.6617888713242394E-3</v>
      </c>
      <c r="R83" s="23">
        <v>1.2542326447323438E-2</v>
      </c>
      <c r="S83" s="24">
        <v>7.6672074176791288E-3</v>
      </c>
      <c r="T83" s="23">
        <v>2.2113508383979255E-2</v>
      </c>
      <c r="U83" s="25">
        <v>1.1542827340878307E-2</v>
      </c>
    </row>
    <row r="84" spans="1:21">
      <c r="A84" s="248">
        <v>2</v>
      </c>
      <c r="B84" s="14" t="s">
        <v>99</v>
      </c>
      <c r="C84" s="15" t="s">
        <v>101</v>
      </c>
      <c r="D84" s="239">
        <v>24.36</v>
      </c>
      <c r="E84" s="240">
        <v>83.57</v>
      </c>
      <c r="F84" s="239">
        <v>61.614066439033728</v>
      </c>
      <c r="G84" s="241">
        <v>21337.937648363783</v>
      </c>
      <c r="H84" s="240">
        <v>10.6</v>
      </c>
      <c r="I84" s="240">
        <v>13.350000000000001</v>
      </c>
      <c r="J84" s="239">
        <v>6.6941894140119542</v>
      </c>
      <c r="K84" s="116">
        <v>45260.05</v>
      </c>
      <c r="L84" s="112">
        <v>6.2042490283507001E-2</v>
      </c>
      <c r="M84" s="242">
        <v>3412</v>
      </c>
      <c r="N84" s="112">
        <v>7.1999999999999995E-2</v>
      </c>
      <c r="O84" s="112">
        <v>8.2000000000000003E-2</v>
      </c>
      <c r="P84" s="23">
        <v>1.469236468705775E-2</v>
      </c>
      <c r="Q84" s="24">
        <v>7.6621910484169168E-3</v>
      </c>
      <c r="R84" s="23">
        <v>1.1663156335493932E-2</v>
      </c>
      <c r="S84" s="24">
        <v>7.6658912978637191E-3</v>
      </c>
      <c r="T84" s="23">
        <v>2.2113508383979255E-2</v>
      </c>
      <c r="U84" s="25">
        <v>1.1555845772372959E-2</v>
      </c>
    </row>
    <row r="85" spans="1:21">
      <c r="A85" s="248">
        <v>8</v>
      </c>
      <c r="B85" s="14" t="s">
        <v>99</v>
      </c>
      <c r="C85" s="15" t="s">
        <v>102</v>
      </c>
      <c r="D85" s="239">
        <v>10.95</v>
      </c>
      <c r="E85" s="240">
        <v>84.29</v>
      </c>
      <c r="F85" s="239">
        <v>53.565973836244105</v>
      </c>
      <c r="G85" s="241">
        <v>29095.183958838912</v>
      </c>
      <c r="H85" s="240">
        <v>9.5399999999999991</v>
      </c>
      <c r="I85" s="240">
        <v>10.370000000000001</v>
      </c>
      <c r="J85" s="239">
        <v>6.6941894140119542</v>
      </c>
      <c r="K85" s="116">
        <v>44129.73</v>
      </c>
      <c r="L85" s="112">
        <v>6.2042490283507001E-2</v>
      </c>
      <c r="M85" s="242">
        <v>3412</v>
      </c>
      <c r="N85" s="112">
        <v>7.1999999999999995E-2</v>
      </c>
      <c r="O85" s="112">
        <v>8.2000000000000003E-2</v>
      </c>
      <c r="P85" s="23">
        <v>1.029114554426212E-2</v>
      </c>
      <c r="Q85" s="24">
        <v>7.6512423696572553E-3</v>
      </c>
      <c r="R85" s="23">
        <v>1.0349667793432167E-2</v>
      </c>
      <c r="S85" s="24">
        <v>7.6665510182786969E-3</v>
      </c>
      <c r="T85" s="23">
        <v>2.2113508383979255E-2</v>
      </c>
      <c r="U85" s="25">
        <v>1.0369013051865168E-2</v>
      </c>
    </row>
    <row r="86" spans="1:21">
      <c r="A86" s="248">
        <v>7</v>
      </c>
      <c r="B86" s="14" t="s">
        <v>99</v>
      </c>
      <c r="C86" s="15" t="s">
        <v>103</v>
      </c>
      <c r="D86" s="239">
        <v>8.5</v>
      </c>
      <c r="E86" s="240">
        <v>83.11</v>
      </c>
      <c r="F86" s="239">
        <v>61.142103972535558</v>
      </c>
      <c r="G86" s="241">
        <v>27256.87277488262</v>
      </c>
      <c r="H86" s="240">
        <v>9.94</v>
      </c>
      <c r="I86" s="240">
        <v>11.11</v>
      </c>
      <c r="J86" s="239">
        <v>6.6941894140119542</v>
      </c>
      <c r="K86" s="116">
        <v>42426.87</v>
      </c>
      <c r="L86" s="112">
        <v>6.2042490283507001E-2</v>
      </c>
      <c r="M86" s="242">
        <v>3412</v>
      </c>
      <c r="N86" s="112">
        <v>7.1999999999999995E-2</v>
      </c>
      <c r="O86" s="112">
        <v>8.2000000000000003E-2</v>
      </c>
      <c r="P86" s="23">
        <v>1.0629436371540549E-2</v>
      </c>
      <c r="Q86" s="24">
        <v>7.6538369860723928E-3</v>
      </c>
      <c r="R86" s="23">
        <v>1.0700309882988847E-2</v>
      </c>
      <c r="S86" s="24">
        <v>7.6675449062978841E-3</v>
      </c>
      <c r="T86" s="23">
        <v>2.2113508383979255E-2</v>
      </c>
      <c r="U86" s="25">
        <v>1.0546203884764294E-2</v>
      </c>
    </row>
    <row r="87" spans="1:21">
      <c r="A87" s="248">
        <v>4</v>
      </c>
      <c r="B87" s="14" t="s">
        <v>99</v>
      </c>
      <c r="C87" s="15" t="s">
        <v>104</v>
      </c>
      <c r="D87" s="239">
        <v>11.02</v>
      </c>
      <c r="E87" s="240">
        <v>83.44</v>
      </c>
      <c r="F87" s="239">
        <v>65.972159039213906</v>
      </c>
      <c r="G87" s="241">
        <v>24110.058894588292</v>
      </c>
      <c r="H87" s="240">
        <v>11.6</v>
      </c>
      <c r="I87" s="240">
        <v>13.244999999999999</v>
      </c>
      <c r="J87" s="239">
        <v>6.6941894140119542</v>
      </c>
      <c r="K87" s="116">
        <v>39910.129999999997</v>
      </c>
      <c r="L87" s="112">
        <v>6.2042490283507001E-2</v>
      </c>
      <c r="M87" s="242">
        <v>3412</v>
      </c>
      <c r="N87" s="112">
        <v>7.1999999999999995E-2</v>
      </c>
      <c r="O87" s="112">
        <v>8.2000000000000003E-2</v>
      </c>
      <c r="P87" s="23">
        <v>1.1875399103103215E-2</v>
      </c>
      <c r="Q87" s="24">
        <v>7.65827844028344E-3</v>
      </c>
      <c r="R87" s="23">
        <v>1.1802488650396459E-2</v>
      </c>
      <c r="S87" s="24">
        <v>7.6690138219652985E-3</v>
      </c>
      <c r="T87" s="23">
        <v>2.2113508383979255E-2</v>
      </c>
      <c r="U87" s="25">
        <v>1.1132322433585397E-2</v>
      </c>
    </row>
    <row r="88" spans="1:21">
      <c r="A88" s="248">
        <v>5</v>
      </c>
      <c r="B88" s="14" t="s">
        <v>99</v>
      </c>
      <c r="C88" s="15" t="s">
        <v>105</v>
      </c>
      <c r="D88" s="239">
        <v>16.7</v>
      </c>
      <c r="E88" s="240">
        <v>83.75</v>
      </c>
      <c r="F88" s="239">
        <v>58.54269987465257</v>
      </c>
      <c r="G88" s="241">
        <v>25086.174819382722</v>
      </c>
      <c r="H88" s="240">
        <v>10.46</v>
      </c>
      <c r="I88" s="240">
        <v>12.515000000000001</v>
      </c>
      <c r="J88" s="239">
        <v>6.6941894140119542</v>
      </c>
      <c r="K88" s="116">
        <v>46387.27</v>
      </c>
      <c r="L88" s="112">
        <v>6.2042490283507001E-2</v>
      </c>
      <c r="M88" s="242">
        <v>3412</v>
      </c>
      <c r="N88" s="112">
        <v>7.1999999999999995E-2</v>
      </c>
      <c r="O88" s="112">
        <v>8.2000000000000003E-2</v>
      </c>
      <c r="P88" s="23">
        <v>1.2371002006637238E-2</v>
      </c>
      <c r="Q88" s="24">
        <v>7.6569007375181779E-3</v>
      </c>
      <c r="R88" s="23">
        <v>1.1323209509224406E-2</v>
      </c>
      <c r="S88" s="24">
        <v>7.665233386788828E-3</v>
      </c>
      <c r="T88" s="23">
        <v>2.2113508383979255E-2</v>
      </c>
      <c r="U88" s="25">
        <v>1.1050520509458161E-2</v>
      </c>
    </row>
    <row r="89" spans="1:21">
      <c r="A89" s="248">
        <v>44</v>
      </c>
      <c r="B89" s="14" t="s">
        <v>106</v>
      </c>
      <c r="C89" s="15" t="s">
        <v>107</v>
      </c>
      <c r="D89" s="239">
        <v>5.51</v>
      </c>
      <c r="E89" s="240">
        <v>83.23</v>
      </c>
      <c r="F89" s="239">
        <v>45.930563460443942</v>
      </c>
      <c r="G89" s="241">
        <v>34086.299353141534</v>
      </c>
      <c r="H89" s="240">
        <v>9.7799999999999994</v>
      </c>
      <c r="I89" s="240">
        <v>11.015000000000001</v>
      </c>
      <c r="J89" s="239">
        <v>5.0234978180597514</v>
      </c>
      <c r="K89" s="116">
        <v>98860.91</v>
      </c>
      <c r="L89" s="112">
        <v>4.1506065646934716E-2</v>
      </c>
      <c r="M89" s="242">
        <v>526</v>
      </c>
      <c r="N89" s="112">
        <v>4.2999999999999997E-2</v>
      </c>
      <c r="O89" s="112">
        <v>5.3999999999999999E-2</v>
      </c>
      <c r="P89" s="23">
        <v>7.9539384077904479E-3</v>
      </c>
      <c r="Q89" s="24">
        <v>7.6441978442009948E-3</v>
      </c>
      <c r="R89" s="23">
        <v>9.4548924677333966E-3</v>
      </c>
      <c r="S89" s="24">
        <v>7.6346067221662543E-3</v>
      </c>
      <c r="T89" s="23">
        <v>6.6644198812041569E-3</v>
      </c>
      <c r="U89" s="25">
        <v>8.222203467328975E-3</v>
      </c>
    </row>
    <row r="90" spans="1:21">
      <c r="A90" s="248">
        <v>70</v>
      </c>
      <c r="B90" s="14" t="s">
        <v>106</v>
      </c>
      <c r="C90" s="15" t="s">
        <v>108</v>
      </c>
      <c r="D90" s="239">
        <v>2.38</v>
      </c>
      <c r="E90" s="240">
        <v>83.59</v>
      </c>
      <c r="F90" s="239">
        <v>28.527607361963192</v>
      </c>
      <c r="G90" s="241">
        <v>45263.193291016774</v>
      </c>
      <c r="H90" s="240">
        <v>7.83</v>
      </c>
      <c r="I90" s="240">
        <v>8.0500000000000007</v>
      </c>
      <c r="J90" s="239">
        <v>5.0234978180597514</v>
      </c>
      <c r="K90" s="116">
        <v>97105.73</v>
      </c>
      <c r="L90" s="112">
        <v>4.1506065646934716E-2</v>
      </c>
      <c r="M90" s="242">
        <v>526</v>
      </c>
      <c r="N90" s="112">
        <v>4.2999999999999997E-2</v>
      </c>
      <c r="O90" s="112">
        <v>5.3999999999999999E-2</v>
      </c>
      <c r="P90" s="23">
        <v>4.9663757627127596E-3</v>
      </c>
      <c r="Q90" s="24">
        <v>7.6284226301161513E-3</v>
      </c>
      <c r="R90" s="23">
        <v>7.9878129686256679E-3</v>
      </c>
      <c r="S90" s="24">
        <v>7.6356311471768353E-3</v>
      </c>
      <c r="T90" s="23">
        <v>6.6644198812041569E-3</v>
      </c>
      <c r="U90" s="25">
        <v>7.217273033949448E-3</v>
      </c>
    </row>
    <row r="91" spans="1:21">
      <c r="A91" s="248">
        <v>59</v>
      </c>
      <c r="B91" s="14" t="s">
        <v>106</v>
      </c>
      <c r="C91" s="15" t="s">
        <v>109</v>
      </c>
      <c r="D91" s="239">
        <v>4.08</v>
      </c>
      <c r="E91" s="240">
        <v>84.82</v>
      </c>
      <c r="F91" s="239">
        <v>37.236739020231347</v>
      </c>
      <c r="G91" s="241">
        <v>40061.387455529875</v>
      </c>
      <c r="H91" s="240">
        <v>7.54</v>
      </c>
      <c r="I91" s="240">
        <v>8.61</v>
      </c>
      <c r="J91" s="239">
        <v>5.0234978180597514</v>
      </c>
      <c r="K91" s="116">
        <v>82594.48</v>
      </c>
      <c r="L91" s="112">
        <v>4.1506065646934716E-2</v>
      </c>
      <c r="M91" s="242">
        <v>526</v>
      </c>
      <c r="N91" s="112">
        <v>4.2999999999999997E-2</v>
      </c>
      <c r="O91" s="112">
        <v>5.3999999999999999E-2</v>
      </c>
      <c r="P91" s="23">
        <v>6.4951024903742187E-3</v>
      </c>
      <c r="Q91" s="24">
        <v>7.6357645268129177E-3</v>
      </c>
      <c r="R91" s="23">
        <v>8.1471113896083962E-3</v>
      </c>
      <c r="S91" s="24">
        <v>7.6441007556698687E-3</v>
      </c>
      <c r="T91" s="23">
        <v>6.6644198812041569E-3</v>
      </c>
      <c r="U91" s="25">
        <v>7.5298360227038222E-3</v>
      </c>
    </row>
    <row r="92" spans="1:21">
      <c r="A92" s="248">
        <v>53</v>
      </c>
      <c r="B92" s="14" t="s">
        <v>106</v>
      </c>
      <c r="C92" s="15" t="s">
        <v>110</v>
      </c>
      <c r="D92" s="239">
        <v>6.49</v>
      </c>
      <c r="E92" s="240">
        <v>86.24</v>
      </c>
      <c r="F92" s="239">
        <v>43.284313725490193</v>
      </c>
      <c r="G92" s="241">
        <v>35922.080593747705</v>
      </c>
      <c r="H92" s="240">
        <v>8.75</v>
      </c>
      <c r="I92" s="240">
        <v>9.6449999999999996</v>
      </c>
      <c r="J92" s="239">
        <v>5.0234978180597514</v>
      </c>
      <c r="K92" s="116">
        <v>85791.77</v>
      </c>
      <c r="L92" s="112">
        <v>4.1506065646934716E-2</v>
      </c>
      <c r="M92" s="242">
        <v>526</v>
      </c>
      <c r="N92" s="112">
        <v>4.2999999999999997E-2</v>
      </c>
      <c r="O92" s="112">
        <v>5.3999999999999999E-2</v>
      </c>
      <c r="P92" s="23">
        <v>7.8669595464410796E-3</v>
      </c>
      <c r="Q92" s="24">
        <v>7.641606798580944E-3</v>
      </c>
      <c r="R92" s="23">
        <v>8.753937753500236E-3</v>
      </c>
      <c r="S92" s="24">
        <v>7.6422346314876863E-3</v>
      </c>
      <c r="T92" s="23">
        <v>6.6644198812041569E-3</v>
      </c>
      <c r="U92" s="25">
        <v>7.9678910787516141E-3</v>
      </c>
    </row>
    <row r="93" spans="1:21">
      <c r="A93" s="248">
        <v>34</v>
      </c>
      <c r="B93" s="14" t="s">
        <v>106</v>
      </c>
      <c r="C93" s="15" t="s">
        <v>111</v>
      </c>
      <c r="D93" s="239">
        <v>9.85</v>
      </c>
      <c r="E93" s="240">
        <v>83.91</v>
      </c>
      <c r="F93" s="239">
        <v>51.785189538642378</v>
      </c>
      <c r="G93" s="241">
        <v>28449.326811473707</v>
      </c>
      <c r="H93" s="240">
        <v>9.43</v>
      </c>
      <c r="I93" s="240">
        <v>11.895</v>
      </c>
      <c r="J93" s="239">
        <v>5.0234978180597514</v>
      </c>
      <c r="K93" s="116">
        <v>72051.61</v>
      </c>
      <c r="L93" s="112">
        <v>4.1506065646934716E-2</v>
      </c>
      <c r="M93" s="242">
        <v>526</v>
      </c>
      <c r="N93" s="112">
        <v>4.2999999999999997E-2</v>
      </c>
      <c r="O93" s="112">
        <v>5.3999999999999999E-2</v>
      </c>
      <c r="P93" s="23">
        <v>9.7886518095066759E-3</v>
      </c>
      <c r="Q93" s="24">
        <v>7.6521539408705586E-3</v>
      </c>
      <c r="R93" s="23">
        <v>9.7241340247835595E-3</v>
      </c>
      <c r="S93" s="24">
        <v>7.6502541870622654E-3</v>
      </c>
      <c r="T93" s="23">
        <v>6.6644198812041569E-3</v>
      </c>
      <c r="U93" s="25">
        <v>8.624139003985341E-3</v>
      </c>
    </row>
    <row r="94" spans="1:21">
      <c r="A94" s="248">
        <v>52</v>
      </c>
      <c r="B94" s="14" t="s">
        <v>106</v>
      </c>
      <c r="C94" s="15" t="s">
        <v>112</v>
      </c>
      <c r="D94" s="239">
        <v>7.57</v>
      </c>
      <c r="E94" s="240">
        <v>84.22</v>
      </c>
      <c r="F94" s="239">
        <v>46.749654218533884</v>
      </c>
      <c r="G94" s="241">
        <v>29493.004862023456</v>
      </c>
      <c r="H94" s="240">
        <v>7.88</v>
      </c>
      <c r="I94" s="240">
        <v>9.1150000000000002</v>
      </c>
      <c r="J94" s="239">
        <v>5.0234978180597514</v>
      </c>
      <c r="K94" s="116">
        <v>74635.100000000006</v>
      </c>
      <c r="L94" s="112">
        <v>4.1506065646934716E-2</v>
      </c>
      <c r="M94" s="242">
        <v>526</v>
      </c>
      <c r="N94" s="112">
        <v>4.2999999999999997E-2</v>
      </c>
      <c r="O94" s="112">
        <v>5.3999999999999999E-2</v>
      </c>
      <c r="P94" s="23">
        <v>8.5772794176880683E-3</v>
      </c>
      <c r="Q94" s="24">
        <v>7.6506808800385793E-3</v>
      </c>
      <c r="R94" s="23">
        <v>8.3983940758519549E-3</v>
      </c>
      <c r="S94" s="24">
        <v>7.6487463122171867E-3</v>
      </c>
      <c r="T94" s="23">
        <v>6.6644198812041569E-3</v>
      </c>
      <c r="U94" s="25">
        <v>7.9683511884870353E-3</v>
      </c>
    </row>
    <row r="95" spans="1:21">
      <c r="A95" s="248">
        <v>47</v>
      </c>
      <c r="B95" s="14" t="s">
        <v>113</v>
      </c>
      <c r="C95" s="15" t="s">
        <v>114</v>
      </c>
      <c r="D95" s="239">
        <v>12.35</v>
      </c>
      <c r="E95" s="240">
        <v>85.38</v>
      </c>
      <c r="F95" s="239">
        <v>48.26505774509296</v>
      </c>
      <c r="G95" s="241">
        <v>26743.711279244311</v>
      </c>
      <c r="H95" s="240">
        <v>8.33</v>
      </c>
      <c r="I95" s="240">
        <v>10.855</v>
      </c>
      <c r="J95" s="239">
        <v>3.9481884365881985</v>
      </c>
      <c r="K95" s="116">
        <v>69396.02</v>
      </c>
      <c r="L95" s="112">
        <v>3.5803244162734657E-2</v>
      </c>
      <c r="M95" s="242">
        <v>615</v>
      </c>
      <c r="N95" s="112">
        <v>3.5000000000000003E-2</v>
      </c>
      <c r="O95" s="112">
        <v>4.5999999999999999E-2</v>
      </c>
      <c r="P95" s="23">
        <v>9.975111595882118E-3</v>
      </c>
      <c r="Q95" s="24">
        <v>7.6545612689097172E-3</v>
      </c>
      <c r="R95" s="23">
        <v>8.3750002455772535E-3</v>
      </c>
      <c r="S95" s="24">
        <v>7.6518041436558068E-3</v>
      </c>
      <c r="T95" s="23">
        <v>6.3745039062373214E-3</v>
      </c>
      <c r="U95" s="25">
        <v>8.1679741933115783E-3</v>
      </c>
    </row>
    <row r="96" spans="1:21">
      <c r="A96" s="248">
        <v>49</v>
      </c>
      <c r="B96" s="14" t="s">
        <v>113</v>
      </c>
      <c r="C96" s="15" t="s">
        <v>115</v>
      </c>
      <c r="D96" s="239">
        <v>13.37</v>
      </c>
      <c r="E96" s="240">
        <v>85.74</v>
      </c>
      <c r="F96" s="239">
        <v>49.435909990411488</v>
      </c>
      <c r="G96" s="241">
        <v>30457.924157083533</v>
      </c>
      <c r="H96" s="240">
        <v>7.84</v>
      </c>
      <c r="I96" s="240">
        <v>9.7349999999999994</v>
      </c>
      <c r="J96" s="239">
        <v>3.9481884365881985</v>
      </c>
      <c r="K96" s="116">
        <v>69922.97</v>
      </c>
      <c r="L96" s="112">
        <v>3.5803244162734657E-2</v>
      </c>
      <c r="M96" s="242">
        <v>615</v>
      </c>
      <c r="N96" s="112">
        <v>3.5000000000000003E-2</v>
      </c>
      <c r="O96" s="112">
        <v>4.5999999999999999E-2</v>
      </c>
      <c r="P96" s="23">
        <v>1.0380397250425439E-2</v>
      </c>
      <c r="Q96" s="24">
        <v>7.6493189803427614E-3</v>
      </c>
      <c r="R96" s="23">
        <v>7.8649482045050033E-3</v>
      </c>
      <c r="S96" s="24">
        <v>7.6514965850240273E-3</v>
      </c>
      <c r="T96" s="23">
        <v>6.3745039062373214E-3</v>
      </c>
      <c r="U96" s="25">
        <v>8.0595979919442073E-3</v>
      </c>
    </row>
    <row r="97" spans="1:21">
      <c r="A97" s="248">
        <v>51</v>
      </c>
      <c r="B97" s="14" t="s">
        <v>113</v>
      </c>
      <c r="C97" s="15" t="s">
        <v>116</v>
      </c>
      <c r="D97" s="239">
        <v>14.1</v>
      </c>
      <c r="E97" s="240">
        <v>84.52</v>
      </c>
      <c r="F97" s="239">
        <v>42.515000252105075</v>
      </c>
      <c r="G97" s="241">
        <v>30692.208681767053</v>
      </c>
      <c r="H97" s="240">
        <v>7.59</v>
      </c>
      <c r="I97" s="240">
        <v>10.065000000000001</v>
      </c>
      <c r="J97" s="239">
        <v>3.9481884365881985</v>
      </c>
      <c r="K97" s="116">
        <v>78315.240000000005</v>
      </c>
      <c r="L97" s="112">
        <v>3.5803244162734657E-2</v>
      </c>
      <c r="M97" s="242">
        <v>615</v>
      </c>
      <c r="N97" s="112">
        <v>3.5000000000000003E-2</v>
      </c>
      <c r="O97" s="112">
        <v>4.5999999999999999E-2</v>
      </c>
      <c r="P97" s="23">
        <v>9.6908463009904716E-3</v>
      </c>
      <c r="Q97" s="24">
        <v>7.648988308104644E-3</v>
      </c>
      <c r="R97" s="23">
        <v>7.944665839899813E-3</v>
      </c>
      <c r="S97" s="24">
        <v>7.6465983687250992E-3</v>
      </c>
      <c r="T97" s="23">
        <v>6.3745039062373214E-3</v>
      </c>
      <c r="U97" s="25">
        <v>7.971289093780972E-3</v>
      </c>
    </row>
    <row r="98" spans="1:21">
      <c r="A98" s="248">
        <v>61</v>
      </c>
      <c r="B98" s="14" t="s">
        <v>113</v>
      </c>
      <c r="C98" s="15" t="s">
        <v>325</v>
      </c>
      <c r="D98" s="239">
        <v>9.1999999999999993</v>
      </c>
      <c r="E98" s="240">
        <v>85.39</v>
      </c>
      <c r="F98" s="239">
        <v>34.671205877082961</v>
      </c>
      <c r="G98" s="241">
        <v>34608.856409260581</v>
      </c>
      <c r="H98" s="240">
        <v>7.36</v>
      </c>
      <c r="I98" s="240">
        <v>9.5100000000000016</v>
      </c>
      <c r="J98" s="239">
        <v>3.9481884365881985</v>
      </c>
      <c r="K98" s="116">
        <v>84808.59</v>
      </c>
      <c r="L98" s="112">
        <v>3.5803244162734657E-2</v>
      </c>
      <c r="M98" s="242">
        <v>615</v>
      </c>
      <c r="N98" s="112">
        <v>3.5000000000000003E-2</v>
      </c>
      <c r="O98" s="112">
        <v>4.5999999999999999E-2</v>
      </c>
      <c r="P98" s="23">
        <v>7.4634992775902444E-3</v>
      </c>
      <c r="Q98" s="24">
        <v>7.6434603003468935E-3</v>
      </c>
      <c r="R98" s="23">
        <v>7.6942093792159248E-3</v>
      </c>
      <c r="S98" s="24">
        <v>7.6428084724509508E-3</v>
      </c>
      <c r="T98" s="23">
        <v>6.3745039062373214E-3</v>
      </c>
      <c r="U98" s="25">
        <v>7.5119227293077894E-3</v>
      </c>
    </row>
    <row r="99" spans="1:21">
      <c r="A99" s="248">
        <v>65</v>
      </c>
      <c r="B99" s="14" t="s">
        <v>113</v>
      </c>
      <c r="C99" s="15" t="s">
        <v>117</v>
      </c>
      <c r="D99" s="239">
        <v>5.0999999999999996</v>
      </c>
      <c r="E99" s="240">
        <v>83.43</v>
      </c>
      <c r="F99" s="239">
        <v>33.61297926922277</v>
      </c>
      <c r="G99" s="241">
        <v>43132.755061208933</v>
      </c>
      <c r="H99" s="240">
        <v>7.06</v>
      </c>
      <c r="I99" s="240">
        <v>9.3849999999999998</v>
      </c>
      <c r="J99" s="239">
        <v>3.9481884365881985</v>
      </c>
      <c r="K99" s="116">
        <v>94399.38</v>
      </c>
      <c r="L99" s="112">
        <v>3.5803244162734657E-2</v>
      </c>
      <c r="M99" s="242">
        <v>615</v>
      </c>
      <c r="N99" s="112">
        <v>3.5000000000000003E-2</v>
      </c>
      <c r="O99" s="112">
        <v>4.5999999999999999E-2</v>
      </c>
      <c r="P99" s="23">
        <v>6.2950949918114188E-3</v>
      </c>
      <c r="Q99" s="24">
        <v>7.6314295584592635E-3</v>
      </c>
      <c r="R99" s="23">
        <v>7.5933901398567739E-3</v>
      </c>
      <c r="S99" s="24">
        <v>7.6372107302551456E-3</v>
      </c>
      <c r="T99" s="23">
        <v>6.3745039062373214E-3</v>
      </c>
      <c r="U99" s="25">
        <v>7.2781790880830245E-3</v>
      </c>
    </row>
    <row r="100" spans="1:21">
      <c r="A100" s="248">
        <v>86</v>
      </c>
      <c r="B100" s="14" t="s">
        <v>113</v>
      </c>
      <c r="C100" s="15" t="s">
        <v>118</v>
      </c>
      <c r="D100" s="239">
        <v>5.18</v>
      </c>
      <c r="E100" s="240">
        <v>85.88</v>
      </c>
      <c r="F100" s="239">
        <v>18.417945690672962</v>
      </c>
      <c r="G100" s="241">
        <v>57428.84205137143</v>
      </c>
      <c r="H100" s="240">
        <v>4.95</v>
      </c>
      <c r="I100" s="240">
        <v>7.0250000000000004</v>
      </c>
      <c r="J100" s="239">
        <v>3.9481884365881985</v>
      </c>
      <c r="K100" s="116">
        <v>102430.02</v>
      </c>
      <c r="L100" s="112">
        <v>3.5803244162734657E-2</v>
      </c>
      <c r="M100" s="242">
        <v>615</v>
      </c>
      <c r="N100" s="112">
        <v>3.5000000000000003E-2</v>
      </c>
      <c r="O100" s="112">
        <v>4.5999999999999999E-2</v>
      </c>
      <c r="P100" s="23">
        <v>4.396446480733375E-3</v>
      </c>
      <c r="Q100" s="24">
        <v>7.6112518745607765E-3</v>
      </c>
      <c r="R100" s="23">
        <v>6.3258404499387782E-3</v>
      </c>
      <c r="S100" s="24">
        <v>7.6325235822321648E-3</v>
      </c>
      <c r="T100" s="23">
        <v>6.3745039062373214E-3</v>
      </c>
      <c r="U100" s="25">
        <v>6.5213069471267817E-3</v>
      </c>
    </row>
    <row r="101" spans="1:21">
      <c r="A101" s="248">
        <v>82</v>
      </c>
      <c r="B101" s="14" t="s">
        <v>113</v>
      </c>
      <c r="C101" s="15" t="s">
        <v>119</v>
      </c>
      <c r="D101" s="239">
        <v>5.26</v>
      </c>
      <c r="E101" s="240">
        <v>85.76</v>
      </c>
      <c r="F101" s="239">
        <v>19.248826291079812</v>
      </c>
      <c r="G101" s="241">
        <v>53788.674353326314</v>
      </c>
      <c r="H101" s="240">
        <v>6.23</v>
      </c>
      <c r="I101" s="240">
        <v>8.57</v>
      </c>
      <c r="J101" s="239">
        <v>3.9481884365881985</v>
      </c>
      <c r="K101" s="116">
        <v>111362.62</v>
      </c>
      <c r="L101" s="112">
        <v>3.5803244162734657E-2</v>
      </c>
      <c r="M101" s="242">
        <v>615</v>
      </c>
      <c r="N101" s="112">
        <v>3.5000000000000003E-2</v>
      </c>
      <c r="O101" s="112">
        <v>4.5999999999999999E-2</v>
      </c>
      <c r="P101" s="23">
        <v>4.52156335883553E-3</v>
      </c>
      <c r="Q101" s="24">
        <v>7.6163896547938696E-3</v>
      </c>
      <c r="R101" s="23">
        <v>7.1375239835288085E-3</v>
      </c>
      <c r="S101" s="24">
        <v>7.6273099979561809E-3</v>
      </c>
      <c r="T101" s="23">
        <v>6.3745039062373214E-3</v>
      </c>
      <c r="U101" s="25">
        <v>6.820825947693729E-3</v>
      </c>
    </row>
    <row r="102" spans="1:21">
      <c r="A102" s="248">
        <v>106</v>
      </c>
      <c r="B102" s="14" t="s">
        <v>113</v>
      </c>
      <c r="C102" s="15" t="s">
        <v>120</v>
      </c>
      <c r="D102" s="239">
        <v>5.36</v>
      </c>
      <c r="E102" s="240">
        <v>86.41</v>
      </c>
      <c r="F102" s="239">
        <v>15.891132572431959</v>
      </c>
      <c r="G102" s="241">
        <v>71758</v>
      </c>
      <c r="H102" s="240">
        <v>3.35</v>
      </c>
      <c r="I102" s="240">
        <v>3.9550000000000001</v>
      </c>
      <c r="J102" s="239">
        <v>3.9481884365881985</v>
      </c>
      <c r="K102" s="116">
        <v>165422.10999999999</v>
      </c>
      <c r="L102" s="112">
        <v>3.5803244162734657E-2</v>
      </c>
      <c r="M102" s="242">
        <v>615</v>
      </c>
      <c r="N102" s="112">
        <v>3.5000000000000003E-2</v>
      </c>
      <c r="O102" s="112">
        <v>4.5999999999999999E-2</v>
      </c>
      <c r="P102" s="23">
        <v>4.1227852656078312E-3</v>
      </c>
      <c r="Q102" s="24">
        <v>7.5910275138795728E-3</v>
      </c>
      <c r="R102" s="23">
        <v>4.8817887055285147E-3</v>
      </c>
      <c r="S102" s="24">
        <v>7.5957577391478097E-3</v>
      </c>
      <c r="T102" s="23">
        <v>6.3745039062373214E-3</v>
      </c>
      <c r="U102" s="25">
        <v>5.9728796100104696E-3</v>
      </c>
    </row>
    <row r="103" spans="1:21">
      <c r="A103" s="248">
        <v>90</v>
      </c>
      <c r="B103" s="14" t="s">
        <v>113</v>
      </c>
      <c r="C103" s="15" t="s">
        <v>121</v>
      </c>
      <c r="D103" s="239">
        <v>2.78</v>
      </c>
      <c r="E103" s="240">
        <v>86.37</v>
      </c>
      <c r="F103" s="239">
        <v>15.616862988220706</v>
      </c>
      <c r="G103" s="241">
        <v>66647.54388251128</v>
      </c>
      <c r="H103" s="240">
        <v>5.17</v>
      </c>
      <c r="I103" s="240">
        <v>7.2750000000000004</v>
      </c>
      <c r="J103" s="239">
        <v>3.9481884365881985</v>
      </c>
      <c r="K103" s="116">
        <v>112108.16</v>
      </c>
      <c r="L103" s="112">
        <v>3.5803244162734657E-2</v>
      </c>
      <c r="M103" s="242">
        <v>615</v>
      </c>
      <c r="N103" s="112">
        <v>3.5000000000000003E-2</v>
      </c>
      <c r="O103" s="112">
        <v>4.5999999999999999E-2</v>
      </c>
      <c r="P103" s="23">
        <v>3.4369150329624592E-3</v>
      </c>
      <c r="Q103" s="24">
        <v>7.5982404783912416E-3</v>
      </c>
      <c r="R103" s="23">
        <v>6.4594854934602727E-3</v>
      </c>
      <c r="S103" s="24">
        <v>7.6268748575019892E-3</v>
      </c>
      <c r="T103" s="23">
        <v>6.3745039062373214E-3</v>
      </c>
      <c r="U103" s="25">
        <v>6.4022233056740532E-3</v>
      </c>
    </row>
    <row r="104" spans="1:21">
      <c r="A104" s="248">
        <v>107</v>
      </c>
      <c r="B104" s="14" t="s">
        <v>122</v>
      </c>
      <c r="C104" s="15" t="s">
        <v>123</v>
      </c>
      <c r="D104" s="239">
        <v>3.49</v>
      </c>
      <c r="E104" s="240">
        <v>83.78</v>
      </c>
      <c r="F104" s="239">
        <v>12.505446623093682</v>
      </c>
      <c r="G104" s="241">
        <v>82127.242000787897</v>
      </c>
      <c r="H104" s="240">
        <v>4.5599999999999996</v>
      </c>
      <c r="I104" s="240">
        <v>6.3949999999999996</v>
      </c>
      <c r="J104" s="239">
        <v>3.3673435856992637</v>
      </c>
      <c r="K104" s="116">
        <v>144910.85</v>
      </c>
      <c r="L104" s="112">
        <v>3.2195456102294781E-2</v>
      </c>
      <c r="M104" s="242">
        <v>415</v>
      </c>
      <c r="N104" s="112">
        <v>3.5000000000000003E-2</v>
      </c>
      <c r="O104" s="112">
        <v>0.04</v>
      </c>
      <c r="P104" s="23">
        <v>3.2234341377374532E-3</v>
      </c>
      <c r="Q104" s="24">
        <v>7.5763922302874414E-3</v>
      </c>
      <c r="R104" s="23">
        <v>5.6078891534531005E-3</v>
      </c>
      <c r="S104" s="24">
        <v>7.6077293020316954E-3</v>
      </c>
      <c r="T104" s="23">
        <v>5.2314312249206515E-3</v>
      </c>
      <c r="U104" s="25">
        <v>5.9600837113277195E-3</v>
      </c>
    </row>
    <row r="105" spans="1:21">
      <c r="A105" s="248">
        <v>116</v>
      </c>
      <c r="B105" s="14" t="s">
        <v>122</v>
      </c>
      <c r="C105" s="15" t="s">
        <v>124</v>
      </c>
      <c r="D105" s="239">
        <v>4.45</v>
      </c>
      <c r="E105" s="240">
        <v>86.22</v>
      </c>
      <c r="F105" s="239">
        <v>13.773731111972104</v>
      </c>
      <c r="G105" s="241">
        <v>81087.934461822457</v>
      </c>
      <c r="H105" s="240">
        <v>3.57</v>
      </c>
      <c r="I105" s="240">
        <v>4.6549999999999994</v>
      </c>
      <c r="J105" s="239">
        <v>3.3673435856992637</v>
      </c>
      <c r="K105" s="116">
        <v>214964.83</v>
      </c>
      <c r="L105" s="112">
        <v>3.2195456102294781E-2</v>
      </c>
      <c r="M105" s="242">
        <v>415</v>
      </c>
      <c r="N105" s="112">
        <v>3.5000000000000003E-2</v>
      </c>
      <c r="O105" s="112">
        <v>0.04</v>
      </c>
      <c r="P105" s="23">
        <v>3.6257334432139516E-3</v>
      </c>
      <c r="Q105" s="24">
        <v>7.5778591225222876E-3</v>
      </c>
      <c r="R105" s="23">
        <v>4.7745566166711613E-3</v>
      </c>
      <c r="S105" s="24">
        <v>7.5668417297013509E-3</v>
      </c>
      <c r="T105" s="23">
        <v>5.2314312249206515E-3</v>
      </c>
      <c r="U105" s="25">
        <v>5.7398507276071771E-3</v>
      </c>
    </row>
    <row r="106" spans="1:21">
      <c r="A106" s="248">
        <v>78</v>
      </c>
      <c r="B106" s="14" t="s">
        <v>122</v>
      </c>
      <c r="C106" s="15" t="s">
        <v>125</v>
      </c>
      <c r="D106" s="239">
        <v>5.22</v>
      </c>
      <c r="E106" s="240">
        <v>85.72</v>
      </c>
      <c r="F106" s="239">
        <v>39.104789407391479</v>
      </c>
      <c r="G106" s="241">
        <v>37404.47490222373</v>
      </c>
      <c r="H106" s="240">
        <v>6.98</v>
      </c>
      <c r="I106" s="240">
        <v>8.66</v>
      </c>
      <c r="J106" s="239">
        <v>3.3673435856992637</v>
      </c>
      <c r="K106" s="116">
        <v>93174.45</v>
      </c>
      <c r="L106" s="112">
        <v>3.2195456102294781E-2</v>
      </c>
      <c r="M106" s="242">
        <v>415</v>
      </c>
      <c r="N106" s="112">
        <v>3.5000000000000003E-2</v>
      </c>
      <c r="O106" s="112">
        <v>0.04</v>
      </c>
      <c r="P106" s="23">
        <v>7.0186760622281278E-3</v>
      </c>
      <c r="Q106" s="24">
        <v>7.6395145278924737E-3</v>
      </c>
      <c r="R106" s="23">
        <v>6.8950806112894093E-3</v>
      </c>
      <c r="S106" s="24">
        <v>7.6379256705622423E-3</v>
      </c>
      <c r="T106" s="23">
        <v>5.2314312249206515E-3</v>
      </c>
      <c r="U106" s="25">
        <v>7.0559526504802138E-3</v>
      </c>
    </row>
    <row r="107" spans="1:21">
      <c r="A107" s="248">
        <v>56</v>
      </c>
      <c r="B107" s="14" t="s">
        <v>122</v>
      </c>
      <c r="C107" s="15" t="s">
        <v>126</v>
      </c>
      <c r="D107" s="239">
        <v>7.29</v>
      </c>
      <c r="E107" s="240">
        <v>85.33</v>
      </c>
      <c r="F107" s="239">
        <v>46.049221257876589</v>
      </c>
      <c r="G107" s="241">
        <v>33796.320032797885</v>
      </c>
      <c r="H107" s="240">
        <v>8.42</v>
      </c>
      <c r="I107" s="240">
        <v>10.51</v>
      </c>
      <c r="J107" s="239">
        <v>3.3673435856992637</v>
      </c>
      <c r="K107" s="116">
        <v>80414.91</v>
      </c>
      <c r="L107" s="112">
        <v>3.2195456102294781E-2</v>
      </c>
      <c r="M107" s="242">
        <v>415</v>
      </c>
      <c r="N107" s="112">
        <v>3.5000000000000003E-2</v>
      </c>
      <c r="O107" s="112">
        <v>0.04</v>
      </c>
      <c r="P107" s="23">
        <v>8.4180818077603612E-3</v>
      </c>
      <c r="Q107" s="24">
        <v>7.644607124801135E-3</v>
      </c>
      <c r="R107" s="23">
        <v>7.8504150759353113E-3</v>
      </c>
      <c r="S107" s="24">
        <v>7.6453728793382742E-3</v>
      </c>
      <c r="T107" s="23">
        <v>5.2314312249206515E-3</v>
      </c>
      <c r="U107" s="25">
        <v>7.6181574029861639E-3</v>
      </c>
    </row>
    <row r="108" spans="1:21">
      <c r="A108" s="248">
        <v>71</v>
      </c>
      <c r="B108" s="14" t="s">
        <v>122</v>
      </c>
      <c r="C108" s="15" t="s">
        <v>127</v>
      </c>
      <c r="D108" s="239">
        <v>6.11</v>
      </c>
      <c r="E108" s="240">
        <v>83.33</v>
      </c>
      <c r="F108" s="239">
        <v>38.28662527269676</v>
      </c>
      <c r="G108" s="241">
        <v>37312.650932657307</v>
      </c>
      <c r="H108" s="240">
        <v>7.66</v>
      </c>
      <c r="I108" s="240">
        <v>9.27</v>
      </c>
      <c r="J108" s="239">
        <v>3.3673435856992637</v>
      </c>
      <c r="K108" s="116">
        <v>104698.61</v>
      </c>
      <c r="L108" s="112">
        <v>3.2195456102294781E-2</v>
      </c>
      <c r="M108" s="242">
        <v>415</v>
      </c>
      <c r="N108" s="112">
        <v>3.5000000000000003E-2</v>
      </c>
      <c r="O108" s="112">
        <v>0.04</v>
      </c>
      <c r="P108" s="23">
        <v>7.1401850416209266E-3</v>
      </c>
      <c r="Q108" s="24">
        <v>7.6396441294424283E-3</v>
      </c>
      <c r="R108" s="23">
        <v>7.2467973067454946E-3</v>
      </c>
      <c r="S108" s="24">
        <v>7.6311995013203749E-3</v>
      </c>
      <c r="T108" s="23">
        <v>5.2314312249206515E-3</v>
      </c>
      <c r="U108" s="25">
        <v>7.1959576408934644E-3</v>
      </c>
    </row>
    <row r="109" spans="1:21">
      <c r="A109" s="248">
        <v>101</v>
      </c>
      <c r="B109" s="14" t="s">
        <v>122</v>
      </c>
      <c r="C109" s="15" t="s">
        <v>128</v>
      </c>
      <c r="D109" s="239">
        <v>5.3</v>
      </c>
      <c r="E109" s="240">
        <v>83.23</v>
      </c>
      <c r="F109" s="239">
        <v>14.30162560661911</v>
      </c>
      <c r="G109" s="241">
        <v>53809.729269838557</v>
      </c>
      <c r="H109" s="240">
        <v>4.8099999999999996</v>
      </c>
      <c r="I109" s="240">
        <v>6.6349999999999998</v>
      </c>
      <c r="J109" s="239">
        <v>3.3673435856992637</v>
      </c>
      <c r="K109" s="116">
        <v>114515.59</v>
      </c>
      <c r="L109" s="112">
        <v>3.2195456102294781E-2</v>
      </c>
      <c r="M109" s="242">
        <v>415</v>
      </c>
      <c r="N109" s="112">
        <v>3.5000000000000003E-2</v>
      </c>
      <c r="O109" s="112">
        <v>0.04</v>
      </c>
      <c r="P109" s="23">
        <v>3.9071536179799563E-3</v>
      </c>
      <c r="Q109" s="24">
        <v>7.6163599376097065E-3</v>
      </c>
      <c r="R109" s="23">
        <v>5.743130882827515E-3</v>
      </c>
      <c r="S109" s="24">
        <v>7.6254697415006536E-3</v>
      </c>
      <c r="T109" s="23">
        <v>5.2314312249206515E-3</v>
      </c>
      <c r="U109" s="25">
        <v>6.1346293430513598E-3</v>
      </c>
    </row>
    <row r="110" spans="1:21">
      <c r="A110" s="248">
        <v>9</v>
      </c>
      <c r="B110" s="14" t="s">
        <v>129</v>
      </c>
      <c r="C110" s="15" t="s">
        <v>326</v>
      </c>
      <c r="D110" s="239">
        <v>15.21</v>
      </c>
      <c r="E110" s="240">
        <v>83.44</v>
      </c>
      <c r="F110" s="239">
        <v>62.849986581984076</v>
      </c>
      <c r="G110" s="241">
        <v>22696.961787609471</v>
      </c>
      <c r="H110" s="240">
        <v>11.45</v>
      </c>
      <c r="I110" s="240">
        <v>12.65</v>
      </c>
      <c r="J110" s="239">
        <v>6.8197536308873499</v>
      </c>
      <c r="K110" s="116">
        <v>51867.47</v>
      </c>
      <c r="L110" s="112">
        <v>5.0019297568506371E-2</v>
      </c>
      <c r="M110" s="242">
        <v>1625</v>
      </c>
      <c r="N110" s="112">
        <v>6.4000000000000001E-2</v>
      </c>
      <c r="O110" s="112">
        <v>7.1999999999999995E-2</v>
      </c>
      <c r="P110" s="23">
        <v>1.253879896894871E-2</v>
      </c>
      <c r="Q110" s="24">
        <v>7.6602729039966302E-3</v>
      </c>
      <c r="R110" s="23">
        <v>1.164001932778538E-2</v>
      </c>
      <c r="S110" s="24">
        <v>7.6620348237109734E-3</v>
      </c>
      <c r="T110" s="23">
        <v>1.3135695939551337E-2</v>
      </c>
      <c r="U110" s="25">
        <v>1.0347141659903461E-2</v>
      </c>
    </row>
    <row r="111" spans="1:21">
      <c r="A111" s="248">
        <v>1</v>
      </c>
      <c r="B111" s="14" t="s">
        <v>129</v>
      </c>
      <c r="C111" s="15" t="s">
        <v>130</v>
      </c>
      <c r="D111" s="239">
        <v>29.07</v>
      </c>
      <c r="E111" s="240">
        <v>82.19</v>
      </c>
      <c r="F111" s="239">
        <v>73.835800807537012</v>
      </c>
      <c r="G111" s="241">
        <v>19859.259299024117</v>
      </c>
      <c r="H111" s="240">
        <v>13.33</v>
      </c>
      <c r="I111" s="240">
        <v>16.835000000000001</v>
      </c>
      <c r="J111" s="239">
        <v>6.8197536308873499</v>
      </c>
      <c r="K111" s="116">
        <v>26918.19</v>
      </c>
      <c r="L111" s="112">
        <v>5.0019297568506371E-2</v>
      </c>
      <c r="M111" s="242">
        <v>1625</v>
      </c>
      <c r="N111" s="112">
        <v>6.4000000000000001E-2</v>
      </c>
      <c r="O111" s="112">
        <v>7.1999999999999995E-2</v>
      </c>
      <c r="P111" s="23">
        <v>1.7424588604198751E-2</v>
      </c>
      <c r="Q111" s="24">
        <v>7.6642780743521287E-3</v>
      </c>
      <c r="R111" s="23">
        <v>1.355466218535414E-2</v>
      </c>
      <c r="S111" s="24">
        <v>7.6765966728819983E-3</v>
      </c>
      <c r="T111" s="23">
        <v>1.3135695939551337E-2</v>
      </c>
      <c r="U111" s="25">
        <v>1.1819175612037757E-2</v>
      </c>
    </row>
    <row r="112" spans="1:21">
      <c r="A112" s="248">
        <v>29</v>
      </c>
      <c r="B112" s="14" t="s">
        <v>129</v>
      </c>
      <c r="C112" s="15" t="s">
        <v>131</v>
      </c>
      <c r="D112" s="239">
        <v>9.68</v>
      </c>
      <c r="E112" s="240">
        <v>82.43</v>
      </c>
      <c r="F112" s="239">
        <v>46.064942212438083</v>
      </c>
      <c r="G112" s="241">
        <v>30468.900348241252</v>
      </c>
      <c r="H112" s="240">
        <v>8.1300000000000008</v>
      </c>
      <c r="I112" s="240">
        <v>8.870000000000001</v>
      </c>
      <c r="J112" s="239">
        <v>6.8197536308873499</v>
      </c>
      <c r="K112" s="116">
        <v>62585.86</v>
      </c>
      <c r="L112" s="112">
        <v>5.0019297568506371E-2</v>
      </c>
      <c r="M112" s="242">
        <v>1625</v>
      </c>
      <c r="N112" s="112">
        <v>6.4000000000000001E-2</v>
      </c>
      <c r="O112" s="112">
        <v>7.1999999999999995E-2</v>
      </c>
      <c r="P112" s="23">
        <v>9.0235490337736528E-3</v>
      </c>
      <c r="Q112" s="24">
        <v>7.6493034884032021E-3</v>
      </c>
      <c r="R112" s="23">
        <v>9.620451422333174E-3</v>
      </c>
      <c r="S112" s="24">
        <v>7.6557789486502003E-3</v>
      </c>
      <c r="T112" s="23">
        <v>1.3135695939551337E-2</v>
      </c>
      <c r="U112" s="25">
        <v>9.066351976813514E-3</v>
      </c>
    </row>
    <row r="113" spans="1:21">
      <c r="A113" s="248">
        <v>20</v>
      </c>
      <c r="B113" s="14" t="s">
        <v>129</v>
      </c>
      <c r="C113" s="15" t="s">
        <v>132</v>
      </c>
      <c r="D113" s="239">
        <v>15.06</v>
      </c>
      <c r="E113" s="240">
        <v>84.38</v>
      </c>
      <c r="F113" s="239">
        <v>56.926461571753165</v>
      </c>
      <c r="G113" s="241">
        <v>28679.350949633899</v>
      </c>
      <c r="H113" s="240">
        <v>9.19</v>
      </c>
      <c r="I113" s="240">
        <v>10.395</v>
      </c>
      <c r="J113" s="239">
        <v>6.8197536308873499</v>
      </c>
      <c r="K113" s="116">
        <v>52127.25</v>
      </c>
      <c r="L113" s="112">
        <v>5.0019297568506371E-2</v>
      </c>
      <c r="M113" s="242">
        <v>1625</v>
      </c>
      <c r="N113" s="112">
        <v>6.4000000000000001E-2</v>
      </c>
      <c r="O113" s="112">
        <v>7.1999999999999995E-2</v>
      </c>
      <c r="P113" s="23">
        <v>1.1752909280013067E-2</v>
      </c>
      <c r="Q113" s="24">
        <v>7.6518292817976232E-3</v>
      </c>
      <c r="R113" s="23">
        <v>1.0385227901694556E-2</v>
      </c>
      <c r="S113" s="24">
        <v>7.6618832010117346E-3</v>
      </c>
      <c r="T113" s="23">
        <v>1.3135695939551337E-2</v>
      </c>
      <c r="U113" s="25">
        <v>9.7844585275023762E-3</v>
      </c>
    </row>
    <row r="114" spans="1:21">
      <c r="A114" s="248">
        <v>15</v>
      </c>
      <c r="B114" s="14" t="s">
        <v>129</v>
      </c>
      <c r="C114" s="15" t="s">
        <v>133</v>
      </c>
      <c r="D114" s="239">
        <v>12.57</v>
      </c>
      <c r="E114" s="240">
        <v>84.88</v>
      </c>
      <c r="F114" s="239">
        <v>57.654525609411003</v>
      </c>
      <c r="G114" s="241">
        <v>28412.972147409684</v>
      </c>
      <c r="H114" s="240">
        <v>10.24</v>
      </c>
      <c r="I114" s="240">
        <v>12.515000000000001</v>
      </c>
      <c r="J114" s="239">
        <v>6.8197536308873499</v>
      </c>
      <c r="K114" s="116">
        <v>59718.09</v>
      </c>
      <c r="L114" s="112">
        <v>5.0019297568506371E-2</v>
      </c>
      <c r="M114" s="242">
        <v>1625</v>
      </c>
      <c r="N114" s="112">
        <v>6.4000000000000001E-2</v>
      </c>
      <c r="O114" s="112">
        <v>7.1999999999999995E-2</v>
      </c>
      <c r="P114" s="23">
        <v>1.1216283762651293E-2</v>
      </c>
      <c r="Q114" s="24">
        <v>7.6522052523182449E-3</v>
      </c>
      <c r="R114" s="23">
        <v>1.1372602487213366E-2</v>
      </c>
      <c r="S114" s="24">
        <v>7.657452745817782E-3</v>
      </c>
      <c r="T114" s="23">
        <v>1.3135695939551337E-2</v>
      </c>
      <c r="U114" s="25">
        <v>1.0032103437261549E-2</v>
      </c>
    </row>
    <row r="115" spans="1:21">
      <c r="A115" s="248">
        <v>18</v>
      </c>
      <c r="B115" s="14" t="s">
        <v>134</v>
      </c>
      <c r="C115" s="15" t="s">
        <v>135</v>
      </c>
      <c r="D115" s="239">
        <v>11.52</v>
      </c>
      <c r="E115" s="240">
        <v>85.07</v>
      </c>
      <c r="F115" s="239">
        <v>63.642253136933988</v>
      </c>
      <c r="G115" s="241">
        <v>24526.326754270107</v>
      </c>
      <c r="H115" s="240">
        <v>12.36</v>
      </c>
      <c r="I115" s="240">
        <v>13.25</v>
      </c>
      <c r="J115" s="239">
        <v>5.9143306261461879</v>
      </c>
      <c r="K115" s="116">
        <v>55401.06</v>
      </c>
      <c r="L115" s="112">
        <v>4.665167234999637E-2</v>
      </c>
      <c r="M115" s="242">
        <v>1388</v>
      </c>
      <c r="N115" s="112">
        <v>3.6999999999999998E-2</v>
      </c>
      <c r="O115" s="112">
        <v>5.2999999999999999E-2</v>
      </c>
      <c r="P115" s="23">
        <v>1.1707299262932548E-2</v>
      </c>
      <c r="Q115" s="24">
        <v>7.6576909143894287E-3</v>
      </c>
      <c r="R115" s="23">
        <v>1.1389102221276644E-2</v>
      </c>
      <c r="S115" s="24">
        <v>7.6599724153123246E-3</v>
      </c>
      <c r="T115" s="23">
        <v>1.0442936896404364E-2</v>
      </c>
      <c r="U115" s="25">
        <v>9.8695514165923239E-3</v>
      </c>
    </row>
    <row r="116" spans="1:21">
      <c r="A116" s="248">
        <v>37</v>
      </c>
      <c r="B116" s="14" t="s">
        <v>134</v>
      </c>
      <c r="C116" s="15" t="s">
        <v>136</v>
      </c>
      <c r="D116" s="239">
        <v>3.71</v>
      </c>
      <c r="E116" s="240">
        <v>84.46</v>
      </c>
      <c r="F116" s="239">
        <v>44.427058884890208</v>
      </c>
      <c r="G116" s="241">
        <v>36865.024145685726</v>
      </c>
      <c r="H116" s="240">
        <v>8.99</v>
      </c>
      <c r="I116" s="240">
        <v>10.44</v>
      </c>
      <c r="J116" s="239">
        <v>5.9143306261461879</v>
      </c>
      <c r="K116" s="116">
        <v>57905.06</v>
      </c>
      <c r="L116" s="112">
        <v>4.665167234999637E-2</v>
      </c>
      <c r="M116" s="242">
        <v>1388</v>
      </c>
      <c r="N116" s="112">
        <v>3.6999999999999998E-2</v>
      </c>
      <c r="O116" s="112">
        <v>5.2999999999999999E-2</v>
      </c>
      <c r="P116" s="23">
        <v>7.309651969869377E-3</v>
      </c>
      <c r="Q116" s="24">
        <v>7.6402759157359942E-3</v>
      </c>
      <c r="R116" s="23">
        <v>9.7263958529935392E-3</v>
      </c>
      <c r="S116" s="24">
        <v>7.6585109354490076E-3</v>
      </c>
      <c r="T116" s="23">
        <v>1.0442936896404364E-2</v>
      </c>
      <c r="U116" s="25">
        <v>8.5617325013546183E-3</v>
      </c>
    </row>
    <row r="117" spans="1:21">
      <c r="A117" s="248">
        <v>50</v>
      </c>
      <c r="B117" s="14" t="s">
        <v>134</v>
      </c>
      <c r="C117" s="15" t="s">
        <v>327</v>
      </c>
      <c r="D117" s="239">
        <v>6.37</v>
      </c>
      <c r="E117" s="240">
        <v>84.76</v>
      </c>
      <c r="F117" s="239">
        <v>27.872460851518774</v>
      </c>
      <c r="G117" s="241">
        <v>33052.509383268851</v>
      </c>
      <c r="H117" s="240">
        <v>6.98</v>
      </c>
      <c r="I117" s="240">
        <v>9.0350000000000001</v>
      </c>
      <c r="J117" s="239">
        <v>5.9143306261461879</v>
      </c>
      <c r="K117" s="116">
        <v>70851.539999999994</v>
      </c>
      <c r="L117" s="112">
        <v>4.665167234999637E-2</v>
      </c>
      <c r="M117" s="242">
        <v>1388</v>
      </c>
      <c r="N117" s="112">
        <v>3.6999999999999998E-2</v>
      </c>
      <c r="O117" s="112">
        <v>5.2999999999999999E-2</v>
      </c>
      <c r="P117" s="23">
        <v>5.8907215037850283E-3</v>
      </c>
      <c r="Q117" s="24">
        <v>7.6456569488667593E-3</v>
      </c>
      <c r="R117" s="23">
        <v>8.8368903887494545E-3</v>
      </c>
      <c r="S117" s="24">
        <v>7.6509546176291871E-3</v>
      </c>
      <c r="T117" s="23">
        <v>1.0442936896404364E-2</v>
      </c>
      <c r="U117" s="25">
        <v>8.0221356216718682E-3</v>
      </c>
    </row>
    <row r="118" spans="1:21">
      <c r="A118" s="248">
        <v>24</v>
      </c>
      <c r="B118" s="14" t="s">
        <v>137</v>
      </c>
      <c r="C118" s="15" t="s">
        <v>138</v>
      </c>
      <c r="D118" s="239">
        <v>10.88</v>
      </c>
      <c r="E118" s="240">
        <v>85.72</v>
      </c>
      <c r="F118" s="239">
        <v>64.625311297260581</v>
      </c>
      <c r="G118" s="241">
        <v>24577.580752362242</v>
      </c>
      <c r="H118" s="240">
        <v>10.83</v>
      </c>
      <c r="I118" s="240">
        <v>12.19</v>
      </c>
      <c r="J118" s="239">
        <v>5.7942098619650642</v>
      </c>
      <c r="K118" s="116">
        <v>54056.86</v>
      </c>
      <c r="L118" s="112">
        <v>6.2643898695318501E-2</v>
      </c>
      <c r="M118" s="242">
        <v>715</v>
      </c>
      <c r="N118" s="112">
        <v>6.2E-2</v>
      </c>
      <c r="O118" s="112">
        <v>7.0000000000000007E-2</v>
      </c>
      <c r="P118" s="23">
        <v>1.1669836577222831E-2</v>
      </c>
      <c r="Q118" s="24">
        <v>7.6576185738270958E-3</v>
      </c>
      <c r="R118" s="23">
        <v>1.063068040135455E-2</v>
      </c>
      <c r="S118" s="24">
        <v>7.6607569685201004E-3</v>
      </c>
      <c r="T118" s="23">
        <v>9.349748942634975E-3</v>
      </c>
      <c r="U118" s="25">
        <v>9.5018199874819069E-3</v>
      </c>
    </row>
    <row r="119" spans="1:21">
      <c r="A119" s="248">
        <v>48</v>
      </c>
      <c r="B119" s="14" t="s">
        <v>137</v>
      </c>
      <c r="C119" s="15" t="s">
        <v>328</v>
      </c>
      <c r="D119" s="239">
        <v>3.99</v>
      </c>
      <c r="E119" s="240">
        <v>83.88</v>
      </c>
      <c r="F119" s="239">
        <v>34.775563117809106</v>
      </c>
      <c r="G119" s="241">
        <v>39388.657380949902</v>
      </c>
      <c r="H119" s="240">
        <v>9.4600000000000009</v>
      </c>
      <c r="I119" s="240">
        <v>9.61</v>
      </c>
      <c r="J119" s="239">
        <v>5.7942098619650642</v>
      </c>
      <c r="K119" s="116">
        <v>61768.78</v>
      </c>
      <c r="L119" s="112">
        <v>6.2643898695318501E-2</v>
      </c>
      <c r="M119" s="242">
        <v>715</v>
      </c>
      <c r="N119" s="112">
        <v>6.2E-2</v>
      </c>
      <c r="O119" s="112">
        <v>7.0000000000000007E-2</v>
      </c>
      <c r="P119" s="23">
        <v>6.1616778665731769E-3</v>
      </c>
      <c r="Q119" s="24">
        <v>7.6367140268266782E-3</v>
      </c>
      <c r="R119" s="23">
        <v>9.4125722076106345E-3</v>
      </c>
      <c r="S119" s="24">
        <v>7.656255844004322E-3</v>
      </c>
      <c r="T119" s="23">
        <v>9.349748942634975E-3</v>
      </c>
      <c r="U119" s="25">
        <v>8.1592498347564085E-3</v>
      </c>
    </row>
    <row r="120" spans="1:21">
      <c r="A120" s="248">
        <v>75</v>
      </c>
      <c r="B120" s="14" t="s">
        <v>137</v>
      </c>
      <c r="C120" s="15" t="s">
        <v>329</v>
      </c>
      <c r="D120" s="239">
        <v>1.8</v>
      </c>
      <c r="E120" s="240">
        <v>84.8</v>
      </c>
      <c r="F120" s="239">
        <v>23.127373144632379</v>
      </c>
      <c r="G120" s="241">
        <v>40053.400582349939</v>
      </c>
      <c r="H120" s="240">
        <v>5.64</v>
      </c>
      <c r="I120" s="240">
        <v>6.0049999999999999</v>
      </c>
      <c r="J120" s="239">
        <v>5.7942098619650642</v>
      </c>
      <c r="K120" s="116">
        <v>77033.42</v>
      </c>
      <c r="L120" s="112">
        <v>6.2643898695318501E-2</v>
      </c>
      <c r="M120" s="242">
        <v>715</v>
      </c>
      <c r="N120" s="112">
        <v>6.2E-2</v>
      </c>
      <c r="O120" s="112">
        <v>7.0000000000000007E-2</v>
      </c>
      <c r="P120" s="23">
        <v>4.1380029878022775E-3</v>
      </c>
      <c r="Q120" s="24">
        <v>7.6357757995900409E-3</v>
      </c>
      <c r="R120" s="23">
        <v>7.3695355520479178E-3</v>
      </c>
      <c r="S120" s="24">
        <v>7.6473465133410721E-3</v>
      </c>
      <c r="T120" s="23">
        <v>9.349748942634975E-3</v>
      </c>
      <c r="U120" s="25">
        <v>7.1223985424912883E-3</v>
      </c>
    </row>
    <row r="121" spans="1:21">
      <c r="A121" s="248">
        <v>57</v>
      </c>
      <c r="B121" s="14" t="s">
        <v>137</v>
      </c>
      <c r="C121" s="15" t="s">
        <v>330</v>
      </c>
      <c r="D121" s="239">
        <v>4.38</v>
      </c>
      <c r="E121" s="240">
        <v>84.8</v>
      </c>
      <c r="F121" s="239">
        <v>31.926605504587155</v>
      </c>
      <c r="G121" s="241">
        <v>19674</v>
      </c>
      <c r="H121" s="240">
        <v>5.32</v>
      </c>
      <c r="I121" s="240">
        <v>7.6300000000000008</v>
      </c>
      <c r="J121" s="239">
        <v>5.7942098619650642</v>
      </c>
      <c r="K121" s="116">
        <v>92644.68</v>
      </c>
      <c r="L121" s="112">
        <v>6.2643898695318501E-2</v>
      </c>
      <c r="M121" s="242">
        <v>715</v>
      </c>
      <c r="N121" s="112">
        <v>6.2E-2</v>
      </c>
      <c r="O121" s="112">
        <v>7.0000000000000007E-2</v>
      </c>
      <c r="P121" s="23">
        <v>5.9003205624179149E-3</v>
      </c>
      <c r="Q121" s="24">
        <v>7.6645395517464347E-3</v>
      </c>
      <c r="R121" s="23">
        <v>7.9251006728470793E-3</v>
      </c>
      <c r="S121" s="24">
        <v>7.6382348751098429E-3</v>
      </c>
      <c r="T121" s="23">
        <v>9.349748942634975E-3</v>
      </c>
      <c r="U121" s="25">
        <v>7.6149486892543167E-3</v>
      </c>
    </row>
    <row r="122" spans="1:21">
      <c r="A122" s="248">
        <v>38</v>
      </c>
      <c r="B122" s="14" t="s">
        <v>139</v>
      </c>
      <c r="C122" s="15" t="s">
        <v>140</v>
      </c>
      <c r="D122" s="239">
        <v>11.67</v>
      </c>
      <c r="E122" s="240">
        <v>83.04</v>
      </c>
      <c r="F122" s="239">
        <v>47.572953064500901</v>
      </c>
      <c r="G122" s="241">
        <v>22504.157388643031</v>
      </c>
      <c r="H122" s="240">
        <v>8.44</v>
      </c>
      <c r="I122" s="240">
        <v>10.574999999999999</v>
      </c>
      <c r="J122" s="239">
        <v>4.4781942315730809</v>
      </c>
      <c r="K122" s="116">
        <v>67328.100000000006</v>
      </c>
      <c r="L122" s="112">
        <v>4.7936085219707054E-2</v>
      </c>
      <c r="M122" s="242">
        <v>826</v>
      </c>
      <c r="N122" s="112">
        <v>6.3E-2</v>
      </c>
      <c r="O122" s="112">
        <v>6.9000000000000006E-2</v>
      </c>
      <c r="P122" s="23">
        <v>9.7162367511755676E-3</v>
      </c>
      <c r="Q122" s="24">
        <v>7.660545030643541E-3</v>
      </c>
      <c r="R122" s="23">
        <v>8.6637337641830309E-3</v>
      </c>
      <c r="S122" s="24">
        <v>7.6530111018981986E-3</v>
      </c>
      <c r="T122" s="23">
        <v>9.3708301711294059E-3</v>
      </c>
      <c r="U122" s="25">
        <v>8.5059729373153301E-3</v>
      </c>
    </row>
    <row r="123" spans="1:21">
      <c r="A123" s="248">
        <v>27</v>
      </c>
      <c r="B123" s="14" t="s">
        <v>139</v>
      </c>
      <c r="C123" s="15" t="s">
        <v>141</v>
      </c>
      <c r="D123" s="239">
        <v>9.3699999999999992</v>
      </c>
      <c r="E123" s="240">
        <v>83.14</v>
      </c>
      <c r="F123" s="239">
        <v>63.775721585416377</v>
      </c>
      <c r="G123" s="241">
        <v>24038.535971865767</v>
      </c>
      <c r="H123" s="240">
        <v>11.65</v>
      </c>
      <c r="I123" s="240">
        <v>14.07</v>
      </c>
      <c r="J123" s="239">
        <v>4.4781942315730809</v>
      </c>
      <c r="K123" s="116">
        <v>62989.93</v>
      </c>
      <c r="L123" s="112">
        <v>4.7936085219707054E-2</v>
      </c>
      <c r="M123" s="242">
        <v>826</v>
      </c>
      <c r="N123" s="112">
        <v>6.3E-2</v>
      </c>
      <c r="O123" s="112">
        <v>6.9000000000000006E-2</v>
      </c>
      <c r="P123" s="23">
        <v>1.1181584969966575E-2</v>
      </c>
      <c r="Q123" s="24">
        <v>7.6583793886707283E-3</v>
      </c>
      <c r="R123" s="23">
        <v>1.0556139677062079E-2</v>
      </c>
      <c r="S123" s="24">
        <v>7.6555431099248131E-3</v>
      </c>
      <c r="T123" s="23">
        <v>9.3708301711294059E-3</v>
      </c>
      <c r="U123" s="25">
        <v>9.3966928813360509E-3</v>
      </c>
    </row>
    <row r="124" spans="1:21">
      <c r="A124" s="248">
        <v>19</v>
      </c>
      <c r="B124" s="14" t="s">
        <v>139</v>
      </c>
      <c r="C124" s="15" t="s">
        <v>142</v>
      </c>
      <c r="D124" s="239">
        <v>12.49</v>
      </c>
      <c r="E124" s="240">
        <v>82.14</v>
      </c>
      <c r="F124" s="239">
        <v>67.681137030743088</v>
      </c>
      <c r="G124" s="241">
        <v>21961.534343840489</v>
      </c>
      <c r="H124" s="240">
        <v>13.08</v>
      </c>
      <c r="I124" s="240">
        <v>14.82</v>
      </c>
      <c r="J124" s="239">
        <v>4.4781942315730809</v>
      </c>
      <c r="K124" s="116">
        <v>46895.42</v>
      </c>
      <c r="L124" s="112">
        <v>4.7936085219707054E-2</v>
      </c>
      <c r="M124" s="242">
        <v>826</v>
      </c>
      <c r="N124" s="112">
        <v>6.3E-2</v>
      </c>
      <c r="O124" s="112">
        <v>6.9000000000000006E-2</v>
      </c>
      <c r="P124" s="23">
        <v>1.2462337178890601E-2</v>
      </c>
      <c r="Q124" s="24">
        <v>7.6613108958961508E-3</v>
      </c>
      <c r="R124" s="23">
        <v>1.1094850978946405E-2</v>
      </c>
      <c r="S124" s="24">
        <v>7.6649368009291856E-3</v>
      </c>
      <c r="T124" s="23">
        <v>9.3708301711294059E-3</v>
      </c>
      <c r="U124" s="25">
        <v>9.7961743665905005E-3</v>
      </c>
    </row>
    <row r="125" spans="1:21">
      <c r="A125" s="248">
        <v>36</v>
      </c>
      <c r="B125" s="14" t="s">
        <v>139</v>
      </c>
      <c r="C125" s="15" t="s">
        <v>143</v>
      </c>
      <c r="D125" s="239">
        <v>6.82</v>
      </c>
      <c r="E125" s="240">
        <v>83.27</v>
      </c>
      <c r="F125" s="239">
        <v>55.809703145768722</v>
      </c>
      <c r="G125" s="241">
        <v>28800.948012344434</v>
      </c>
      <c r="H125" s="240">
        <v>9.49</v>
      </c>
      <c r="I125" s="240">
        <v>11.08</v>
      </c>
      <c r="J125" s="239">
        <v>4.4781942315730809</v>
      </c>
      <c r="K125" s="116">
        <v>73432.17</v>
      </c>
      <c r="L125" s="112">
        <v>4.7936085219707054E-2</v>
      </c>
      <c r="M125" s="242">
        <v>826</v>
      </c>
      <c r="N125" s="112">
        <v>6.3E-2</v>
      </c>
      <c r="O125" s="112">
        <v>6.9000000000000006E-2</v>
      </c>
      <c r="P125" s="23">
        <v>9.5320406487108874E-3</v>
      </c>
      <c r="Q125" s="24">
        <v>7.6516576581151397E-3</v>
      </c>
      <c r="R125" s="23">
        <v>9.0420568161890449E-3</v>
      </c>
      <c r="S125" s="24">
        <v>7.6494484120462518E-3</v>
      </c>
      <c r="T125" s="23">
        <v>9.3708301711294059E-3</v>
      </c>
      <c r="U125" s="25">
        <v>8.6013811209511726E-3</v>
      </c>
    </row>
    <row r="126" spans="1:21">
      <c r="A126" s="248">
        <v>74</v>
      </c>
      <c r="B126" s="14" t="s">
        <v>139</v>
      </c>
      <c r="C126" s="15" t="s">
        <v>144</v>
      </c>
      <c r="D126" s="239">
        <v>2.98</v>
      </c>
      <c r="E126" s="240">
        <v>85.68</v>
      </c>
      <c r="F126" s="239">
        <v>31.080412185573504</v>
      </c>
      <c r="G126" s="241">
        <v>44105.511819772386</v>
      </c>
      <c r="H126" s="240">
        <v>5.82</v>
      </c>
      <c r="I126" s="240">
        <v>6.8</v>
      </c>
      <c r="J126" s="239">
        <v>4.4781942315730809</v>
      </c>
      <c r="K126" s="116">
        <v>80856.09</v>
      </c>
      <c r="L126" s="112">
        <v>4.7936085219707054E-2</v>
      </c>
      <c r="M126" s="242">
        <v>826</v>
      </c>
      <c r="N126" s="112">
        <v>6.3E-2</v>
      </c>
      <c r="O126" s="112">
        <v>6.9000000000000006E-2</v>
      </c>
      <c r="P126" s="23">
        <v>5.4400244544040629E-3</v>
      </c>
      <c r="Q126" s="24">
        <v>7.6300565968650926E-3</v>
      </c>
      <c r="R126" s="23">
        <v>6.7713025320299347E-3</v>
      </c>
      <c r="S126" s="24">
        <v>7.6451153810610786E-3</v>
      </c>
      <c r="T126" s="23">
        <v>9.3708301711294059E-3</v>
      </c>
      <c r="U126" s="25">
        <v>7.1352155183175281E-3</v>
      </c>
    </row>
    <row r="127" spans="1:21">
      <c r="A127" s="248">
        <v>60</v>
      </c>
      <c r="B127" s="14" t="s">
        <v>139</v>
      </c>
      <c r="C127" s="15" t="s">
        <v>145</v>
      </c>
      <c r="D127" s="239">
        <v>10.63</v>
      </c>
      <c r="E127" s="240">
        <v>87.94</v>
      </c>
      <c r="F127" s="239">
        <v>27.963176064441889</v>
      </c>
      <c r="G127" s="241">
        <v>38875.465797749443</v>
      </c>
      <c r="H127" s="240">
        <v>5.73</v>
      </c>
      <c r="I127" s="240">
        <v>7.8650000000000002</v>
      </c>
      <c r="J127" s="239">
        <v>4.4781942315730809</v>
      </c>
      <c r="K127" s="116">
        <v>59955.78</v>
      </c>
      <c r="L127" s="112">
        <v>4.7936085219707054E-2</v>
      </c>
      <c r="M127" s="242">
        <v>826</v>
      </c>
      <c r="N127" s="112">
        <v>6.3E-2</v>
      </c>
      <c r="O127" s="112">
        <v>6.9000000000000006E-2</v>
      </c>
      <c r="P127" s="23">
        <v>6.9772610174588462E-3</v>
      </c>
      <c r="Q127" s="24">
        <v>7.6374383521299804E-3</v>
      </c>
      <c r="R127" s="23">
        <v>7.1568334262889777E-3</v>
      </c>
      <c r="S127" s="24">
        <v>7.6573140161258048E-3</v>
      </c>
      <c r="T127" s="23">
        <v>9.3708301711294059E-3</v>
      </c>
      <c r="U127" s="25">
        <v>7.5268012271245627E-3</v>
      </c>
    </row>
    <row r="128" spans="1:21">
      <c r="A128" s="248">
        <v>39</v>
      </c>
      <c r="B128" s="14" t="s">
        <v>139</v>
      </c>
      <c r="C128" s="15" t="s">
        <v>146</v>
      </c>
      <c r="D128" s="239">
        <v>9.48</v>
      </c>
      <c r="E128" s="240">
        <v>84.5</v>
      </c>
      <c r="F128" s="239">
        <v>53.166577967003725</v>
      </c>
      <c r="G128" s="241">
        <v>31834.133591988113</v>
      </c>
      <c r="H128" s="240">
        <v>8.24</v>
      </c>
      <c r="I128" s="240">
        <v>10.395</v>
      </c>
      <c r="J128" s="239">
        <v>4.4781942315730809</v>
      </c>
      <c r="K128" s="116">
        <v>62681.94</v>
      </c>
      <c r="L128" s="112">
        <v>4.7936085219707054E-2</v>
      </c>
      <c r="M128" s="242">
        <v>826</v>
      </c>
      <c r="N128" s="112">
        <v>6.3E-2</v>
      </c>
      <c r="O128" s="112">
        <v>6.9000000000000006E-2</v>
      </c>
      <c r="P128" s="23">
        <v>9.8696434576356525E-3</v>
      </c>
      <c r="Q128" s="24">
        <v>7.6473765803717255E-3</v>
      </c>
      <c r="R128" s="23">
        <v>8.5600658409944325E-3</v>
      </c>
      <c r="S128" s="24">
        <v>7.6557228707806848E-3</v>
      </c>
      <c r="T128" s="23">
        <v>9.3708301711294059E-3</v>
      </c>
      <c r="U128" s="25">
        <v>8.4921036135736407E-3</v>
      </c>
    </row>
    <row r="129" spans="1:21">
      <c r="A129" s="248">
        <v>72</v>
      </c>
      <c r="B129" s="14" t="s">
        <v>139</v>
      </c>
      <c r="C129" s="15" t="s">
        <v>331</v>
      </c>
      <c r="D129" s="239">
        <v>4.2300000000000004</v>
      </c>
      <c r="E129" s="240">
        <v>85.78</v>
      </c>
      <c r="F129" s="239">
        <v>25.364900586139523</v>
      </c>
      <c r="G129" s="241">
        <v>54991.197828187956</v>
      </c>
      <c r="H129" s="240">
        <v>5.88</v>
      </c>
      <c r="I129" s="240">
        <v>7.6449999999999996</v>
      </c>
      <c r="J129" s="239">
        <v>4.4781942315730809</v>
      </c>
      <c r="K129" s="116">
        <v>123056.23</v>
      </c>
      <c r="L129" s="112">
        <v>4.7936085219707054E-2</v>
      </c>
      <c r="M129" s="242">
        <v>826</v>
      </c>
      <c r="N129" s="112">
        <v>6.3E-2</v>
      </c>
      <c r="O129" s="112">
        <v>6.9000000000000006E-2</v>
      </c>
      <c r="P129" s="23">
        <v>5.0338453135693488E-3</v>
      </c>
      <c r="Q129" s="24">
        <v>7.614692397455344E-3</v>
      </c>
      <c r="R129" s="23">
        <v>7.1007061678153849E-3</v>
      </c>
      <c r="S129" s="24">
        <v>7.6204849278505597E-3</v>
      </c>
      <c r="T129" s="23">
        <v>9.3708301711294059E-3</v>
      </c>
      <c r="U129" s="25">
        <v>7.1731882271869043E-3</v>
      </c>
    </row>
    <row r="130" spans="1:21">
      <c r="A130" s="248">
        <v>111</v>
      </c>
      <c r="B130" s="14" t="s">
        <v>147</v>
      </c>
      <c r="C130" s="15" t="s">
        <v>148</v>
      </c>
      <c r="D130" s="239">
        <v>2.59</v>
      </c>
      <c r="E130" s="240">
        <v>84.7</v>
      </c>
      <c r="F130" s="239">
        <v>20.602776837114799</v>
      </c>
      <c r="G130" s="241">
        <v>52966.258089558265</v>
      </c>
      <c r="H130" s="240">
        <v>5.33</v>
      </c>
      <c r="I130" s="240">
        <v>6.9550000000000001</v>
      </c>
      <c r="J130" s="239">
        <v>2.8390176496451227</v>
      </c>
      <c r="K130" s="116">
        <v>88681.16</v>
      </c>
      <c r="L130" s="112">
        <v>2.4022988505747127E-2</v>
      </c>
      <c r="M130" s="242">
        <v>80</v>
      </c>
      <c r="N130" s="112">
        <v>2.5999999999999999E-2</v>
      </c>
      <c r="O130" s="112">
        <v>3.1E-2</v>
      </c>
      <c r="P130" s="23">
        <v>4.0186408882249879E-3</v>
      </c>
      <c r="Q130" s="24">
        <v>7.6175504238500955E-3</v>
      </c>
      <c r="R130" s="23">
        <v>5.5833956324325097E-3</v>
      </c>
      <c r="S130" s="24">
        <v>7.640548215632148E-3</v>
      </c>
      <c r="T130" s="23">
        <v>2.8897023671300669E-3</v>
      </c>
      <c r="U130" s="25">
        <v>5.8809368498614874E-3</v>
      </c>
    </row>
    <row r="131" spans="1:21">
      <c r="A131" s="248">
        <v>55</v>
      </c>
      <c r="B131" s="16" t="s">
        <v>147</v>
      </c>
      <c r="C131" s="17" t="s">
        <v>149</v>
      </c>
      <c r="D131" s="243">
        <v>15.13</v>
      </c>
      <c r="E131" s="244">
        <v>82.12</v>
      </c>
      <c r="F131" s="243">
        <v>58.255897069335241</v>
      </c>
      <c r="G131" s="245">
        <v>25366</v>
      </c>
      <c r="H131" s="244">
        <v>7.84</v>
      </c>
      <c r="I131" s="244">
        <v>9.0749999999999993</v>
      </c>
      <c r="J131" s="243">
        <v>2.8390176496451227</v>
      </c>
      <c r="K131" s="117">
        <v>73503.58</v>
      </c>
      <c r="L131" s="112">
        <v>2.4022988505747127E-2</v>
      </c>
      <c r="M131" s="242">
        <v>80</v>
      </c>
      <c r="N131" s="112">
        <v>2.5999999999999999E-2</v>
      </c>
      <c r="O131" s="112">
        <v>3.1E-2</v>
      </c>
      <c r="P131" s="23">
        <v>1.1938602451637066E-2</v>
      </c>
      <c r="Q131" s="24">
        <v>7.6565057886034691E-3</v>
      </c>
      <c r="R131" s="23">
        <v>6.8320081531811541E-3</v>
      </c>
      <c r="S131" s="24">
        <v>7.6494067330218742E-3</v>
      </c>
      <c r="T131" s="23">
        <v>2.8897023671300669E-3</v>
      </c>
      <c r="U131" s="25">
        <v>7.6425757116752929E-3</v>
      </c>
    </row>
    <row r="132" spans="1:21">
      <c r="A132" s="248">
        <v>67</v>
      </c>
      <c r="B132" s="14" t="s">
        <v>147</v>
      </c>
      <c r="C132" s="15" t="s">
        <v>150</v>
      </c>
      <c r="D132" s="239">
        <v>11.45</v>
      </c>
      <c r="E132" s="240">
        <v>84.85</v>
      </c>
      <c r="F132" s="239">
        <v>48.356884653302664</v>
      </c>
      <c r="G132" s="241">
        <v>30892.202490249329</v>
      </c>
      <c r="H132" s="240">
        <v>7.4</v>
      </c>
      <c r="I132" s="240">
        <v>9.254999999999999</v>
      </c>
      <c r="J132" s="239">
        <v>2.8390176496451227</v>
      </c>
      <c r="K132" s="116">
        <v>82836.509999999995</v>
      </c>
      <c r="L132" s="112">
        <v>2.4022988505747127E-2</v>
      </c>
      <c r="M132" s="242">
        <v>80</v>
      </c>
      <c r="N132" s="112">
        <v>2.5999999999999999E-2</v>
      </c>
      <c r="O132" s="112">
        <v>3.1E-2</v>
      </c>
      <c r="P132" s="23">
        <v>9.7595661182733121E-3</v>
      </c>
      <c r="Q132" s="24">
        <v>7.648706034231241E-3</v>
      </c>
      <c r="R132" s="23">
        <v>6.8211608170909233E-3</v>
      </c>
      <c r="S132" s="24">
        <v>7.6439594929017703E-3</v>
      </c>
      <c r="T132" s="23">
        <v>2.8897023671300669E-3</v>
      </c>
      <c r="U132" s="25">
        <v>7.2722948143916456E-3</v>
      </c>
    </row>
    <row r="133" spans="1:21">
      <c r="A133" s="248">
        <v>91</v>
      </c>
      <c r="B133" s="14" t="s">
        <v>147</v>
      </c>
      <c r="C133" s="15" t="s">
        <v>151</v>
      </c>
      <c r="D133" s="239">
        <v>5.75</v>
      </c>
      <c r="E133" s="240">
        <v>85.61</v>
      </c>
      <c r="F133" s="239">
        <v>29.890992541594951</v>
      </c>
      <c r="G133" s="241">
        <v>41635.74326319353</v>
      </c>
      <c r="H133" s="240">
        <v>6.12</v>
      </c>
      <c r="I133" s="240">
        <v>7.55</v>
      </c>
      <c r="J133" s="239">
        <v>2.8390176496451227</v>
      </c>
      <c r="K133" s="116">
        <v>98147.3</v>
      </c>
      <c r="L133" s="112">
        <v>2.4022988505747127E-2</v>
      </c>
      <c r="M133" s="242">
        <v>80</v>
      </c>
      <c r="N133" s="112">
        <v>2.5999999999999999E-2</v>
      </c>
      <c r="O133" s="112">
        <v>3.1E-2</v>
      </c>
      <c r="P133" s="23">
        <v>5.9890422989747148E-3</v>
      </c>
      <c r="Q133" s="24">
        <v>7.6335424604633889E-3</v>
      </c>
      <c r="R133" s="23">
        <v>5.9491378126884801E-3</v>
      </c>
      <c r="S133" s="24">
        <v>7.6350232264175569E-3</v>
      </c>
      <c r="T133" s="23">
        <v>2.8897023671300669E-3</v>
      </c>
      <c r="U133" s="25">
        <v>6.3394948202385231E-3</v>
      </c>
    </row>
    <row r="134" spans="1:21">
      <c r="A134" s="248">
        <v>122</v>
      </c>
      <c r="B134" s="14" t="s">
        <v>147</v>
      </c>
      <c r="C134" s="15" t="s">
        <v>152</v>
      </c>
      <c r="D134" s="239">
        <v>2.54</v>
      </c>
      <c r="E134" s="240">
        <v>85.23</v>
      </c>
      <c r="F134" s="239">
        <v>15.168539325842696</v>
      </c>
      <c r="G134" s="241">
        <v>67321.429582471959</v>
      </c>
      <c r="H134" s="240">
        <v>4.6100000000000003</v>
      </c>
      <c r="I134" s="240">
        <v>6.3550000000000004</v>
      </c>
      <c r="J134" s="239">
        <v>2.8390176496451227</v>
      </c>
      <c r="K134" s="116">
        <v>115940.36</v>
      </c>
      <c r="L134" s="112">
        <v>2.4022988505747127E-2</v>
      </c>
      <c r="M134" s="242">
        <v>80</v>
      </c>
      <c r="N134" s="112">
        <v>2.5999999999999999E-2</v>
      </c>
      <c r="O134" s="112">
        <v>3.1E-2</v>
      </c>
      <c r="P134" s="23">
        <v>3.3198036658391998E-3</v>
      </c>
      <c r="Q134" s="24">
        <v>7.5972893473127256E-3</v>
      </c>
      <c r="R134" s="23">
        <v>5.228292950197274E-3</v>
      </c>
      <c r="S134" s="24">
        <v>7.6246381629603748E-3</v>
      </c>
      <c r="T134" s="23">
        <v>2.8897023671300669E-3</v>
      </c>
      <c r="U134" s="25">
        <v>5.635231441667523E-3</v>
      </c>
    </row>
  </sheetData>
  <autoFilter ref="A3:U3" xr:uid="{00000000-0009-0000-0000-000002000000}">
    <sortState xmlns:xlrd2="http://schemas.microsoft.com/office/spreadsheetml/2017/richdata2" ref="A5:AJ135">
      <sortCondition ref="A4"/>
    </sortState>
  </autoFilter>
  <mergeCells count="4">
    <mergeCell ref="A1:C2"/>
    <mergeCell ref="D2:F2"/>
    <mergeCell ref="H2:J2"/>
    <mergeCell ref="L2:O2"/>
  </mergeCells>
  <conditionalFormatting sqref="A4:A134">
    <cfRule type="colorScale" priority="5">
      <colorScale>
        <cfvo type="min"/>
        <cfvo type="percentile" val="50"/>
        <cfvo type="max"/>
        <color rgb="FFFF0000"/>
        <color rgb="FFFFEB84"/>
        <color rgb="FF92D050"/>
      </colorScale>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U157"/>
  <sheetViews>
    <sheetView showGridLines="0" zoomScale="70" zoomScaleNormal="70" workbookViewId="0">
      <pane xSplit="3" ySplit="3" topLeftCell="D4" activePane="bottomRight" state="frozen"/>
      <selection pane="topRight" activeCell="D1" sqref="D1"/>
      <selection pane="bottomLeft" activeCell="A3" sqref="A3"/>
      <selection pane="bottomRight" sqref="A1:C2"/>
    </sheetView>
  </sheetViews>
  <sheetFormatPr baseColWidth="10" defaultRowHeight="15.75"/>
  <cols>
    <col min="1" max="1" width="18.625" customWidth="1"/>
    <col min="2" max="2" width="20" bestFit="1" customWidth="1"/>
    <col min="3" max="3" width="19.125" customWidth="1"/>
    <col min="4" max="4" width="13.125" customWidth="1"/>
    <col min="5" max="6" width="10.125" customWidth="1"/>
    <col min="7" max="7" width="11.5" customWidth="1"/>
    <col min="8" max="8" width="12.625" customWidth="1"/>
    <col min="9" max="9" width="10.625" customWidth="1"/>
    <col min="10" max="10" width="12.625" customWidth="1"/>
    <col min="11" max="11" width="19.5" customWidth="1"/>
    <col min="12" max="12" width="14.625" customWidth="1"/>
    <col min="13" max="14" width="12.625" customWidth="1"/>
    <col min="15" max="15" width="13.625" customWidth="1"/>
    <col min="16" max="17" width="12.625" customWidth="1"/>
    <col min="18" max="18" width="11.625" customWidth="1"/>
    <col min="19" max="19" width="12.125" customWidth="1"/>
    <col min="20" max="20" width="12" customWidth="1"/>
    <col min="21" max="21" width="17.625" customWidth="1"/>
    <col min="23" max="23" width="11.125" bestFit="1" customWidth="1"/>
  </cols>
  <sheetData>
    <row r="1" spans="1:21" ht="32.1" customHeight="1" thickBot="1">
      <c r="A1" s="329" t="s">
        <v>172</v>
      </c>
      <c r="B1" s="329"/>
      <c r="C1" s="329"/>
    </row>
    <row r="2" spans="1:21" s="100" customFormat="1" ht="34.35" customHeight="1" thickTop="1" thickBot="1">
      <c r="A2" s="330"/>
      <c r="B2" s="330"/>
      <c r="C2" s="330"/>
      <c r="D2" s="331" t="s">
        <v>2</v>
      </c>
      <c r="E2" s="332"/>
      <c r="F2" s="333"/>
      <c r="G2" s="102" t="s">
        <v>208</v>
      </c>
      <c r="H2" s="334" t="s">
        <v>4</v>
      </c>
      <c r="I2" s="335"/>
      <c r="J2" s="335"/>
      <c r="K2" s="101" t="s">
        <v>289</v>
      </c>
      <c r="L2" s="336" t="s">
        <v>220</v>
      </c>
      <c r="M2" s="337"/>
      <c r="N2" s="337"/>
      <c r="O2" s="337"/>
    </row>
    <row r="3" spans="1:21" s="271" customFormat="1" ht="48.75" thickTop="1" thickBot="1">
      <c r="A3" s="283" t="s">
        <v>161</v>
      </c>
      <c r="B3" s="282" t="s">
        <v>15</v>
      </c>
      <c r="C3" s="281" t="s">
        <v>16</v>
      </c>
      <c r="D3" s="277" t="s">
        <v>251</v>
      </c>
      <c r="E3" s="275" t="s">
        <v>14</v>
      </c>
      <c r="F3" s="280" t="s">
        <v>238</v>
      </c>
      <c r="G3" s="279" t="s">
        <v>210</v>
      </c>
      <c r="H3" s="277" t="s">
        <v>153</v>
      </c>
      <c r="I3" s="276" t="s">
        <v>254</v>
      </c>
      <c r="J3" s="275" t="s">
        <v>239</v>
      </c>
      <c r="K3" s="278" t="s">
        <v>257</v>
      </c>
      <c r="L3" s="277" t="s">
        <v>207</v>
      </c>
      <c r="M3" s="276" t="s">
        <v>209</v>
      </c>
      <c r="N3" s="276" t="s">
        <v>226</v>
      </c>
      <c r="O3" s="275" t="s">
        <v>227</v>
      </c>
      <c r="P3" s="274" t="s">
        <v>2</v>
      </c>
      <c r="Q3" s="273" t="s">
        <v>3</v>
      </c>
      <c r="R3" s="273" t="s">
        <v>4</v>
      </c>
      <c r="S3" s="273" t="s">
        <v>289</v>
      </c>
      <c r="T3" s="273" t="s">
        <v>220</v>
      </c>
      <c r="U3" s="272" t="s">
        <v>0</v>
      </c>
    </row>
    <row r="4" spans="1:21" ht="17.25" thickTop="1" thickBot="1">
      <c r="A4" s="260">
        <v>1</v>
      </c>
      <c r="B4" s="270" t="s">
        <v>129</v>
      </c>
      <c r="C4" s="269" t="s">
        <v>130</v>
      </c>
      <c r="D4" s="284">
        <v>29.07</v>
      </c>
      <c r="E4" s="285">
        <v>82.19</v>
      </c>
      <c r="F4" s="286">
        <v>73.835800807537012</v>
      </c>
      <c r="G4" s="287">
        <v>19859.259299024117</v>
      </c>
      <c r="H4" s="284">
        <v>13.33</v>
      </c>
      <c r="I4" s="288">
        <v>16.835000000000001</v>
      </c>
      <c r="J4" s="289">
        <v>6.8197536308873499</v>
      </c>
      <c r="K4" s="268">
        <v>26918.19</v>
      </c>
      <c r="L4" s="255">
        <v>5.0019297568506371E-2</v>
      </c>
      <c r="M4" s="256">
        <v>1625</v>
      </c>
      <c r="N4" s="255">
        <v>6.4000000000000001E-2</v>
      </c>
      <c r="O4" s="255">
        <v>7.1999999999999995E-2</v>
      </c>
      <c r="P4" s="267">
        <f>('[1]Modelo AHP'!$U$37*[1]aux!P112)+('[1]Modelo AHP'!$U$38*[1]aux!R112)+('[1]Modelo AHP'!$U$39*[1]aux!S112)</f>
        <v>1.7424588604198751E-2</v>
      </c>
      <c r="Q4" s="266">
        <f>[1]aux!U112</f>
        <v>7.6642780743521287E-3</v>
      </c>
      <c r="R4" s="267">
        <f>('[1]Modelo AHP'!$U$47*[1]aux!V112)+('[1]Modelo AHP'!$U$48*[1]aux!W112)+('[1]Modelo AHP'!$U$49*[1]aux!X112)</f>
        <v>1.355466218535414E-2</v>
      </c>
      <c r="S4" s="266">
        <f>[1]aux!Z112</f>
        <v>7.6765966728819983E-3</v>
      </c>
      <c r="T4" s="265">
        <f>('[1]Modelo AHP'!$U$56*[1]aux!AA112)+('[1]Modelo AHP'!$U$57*[1]aux!AB112)+('[1]Modelo AHP'!$U$58*[1]aux!AC112)+('[1]Modelo AHP'!$U$59*[1]aux!AD112)</f>
        <v>1.3135695939551337E-2</v>
      </c>
      <c r="U4" s="264">
        <f>('[1]Modelo AHP'!$U$23*[1]aux!AE112)+('[1]Modelo AHP'!$U$24*[1]aux!AF112)+('[1]Modelo AHP'!$U$25*[1]aux!AG112)+('[1]Modelo AHP'!$U$26*[1]aux!AH112)+('[1]Modelo AHP'!$U$27*[1]aux!AI112)</f>
        <v>1.1819175612037757E-2</v>
      </c>
    </row>
    <row r="5" spans="1:21" ht="17.25" thickTop="1" thickBot="1">
      <c r="A5" s="260">
        <v>2</v>
      </c>
      <c r="B5" s="259" t="s">
        <v>99</v>
      </c>
      <c r="C5" s="258" t="s">
        <v>101</v>
      </c>
      <c r="D5" s="290">
        <v>24.36</v>
      </c>
      <c r="E5" s="291">
        <v>83.57</v>
      </c>
      <c r="F5" s="292">
        <v>61.614066439033728</v>
      </c>
      <c r="G5" s="293">
        <v>21337.937648363783</v>
      </c>
      <c r="H5" s="290">
        <v>10.6</v>
      </c>
      <c r="I5" s="294">
        <v>13.350000000000001</v>
      </c>
      <c r="J5" s="295">
        <v>6.6941894140119542</v>
      </c>
      <c r="K5" s="257">
        <v>45260.05</v>
      </c>
      <c r="L5" s="255">
        <v>6.2042490283507001E-2</v>
      </c>
      <c r="M5" s="256">
        <v>3412</v>
      </c>
      <c r="N5" s="255">
        <v>7.1999999999999995E-2</v>
      </c>
      <c r="O5" s="255">
        <v>8.2000000000000003E-2</v>
      </c>
      <c r="P5" s="254">
        <f>('[1]Modelo AHP'!$U$37*[1]aux!P85)+('[1]Modelo AHP'!$U$38*[1]aux!R85)+('[1]Modelo AHP'!$U$39*[1]aux!S85)</f>
        <v>1.469236468705775E-2</v>
      </c>
      <c r="Q5" s="253">
        <f>[1]aux!U85</f>
        <v>7.6621910484169168E-3</v>
      </c>
      <c r="R5" s="254">
        <f>('[1]Modelo AHP'!$U$47*[1]aux!V85)+('[1]Modelo AHP'!$U$48*[1]aux!W85)+('[1]Modelo AHP'!$U$49*[1]aux!X85)</f>
        <v>1.1663156335493932E-2</v>
      </c>
      <c r="S5" s="253">
        <f>[1]aux!Z85</f>
        <v>7.6658912978637191E-3</v>
      </c>
      <c r="T5" s="252">
        <f>('[1]Modelo AHP'!$U$56*[1]aux!AA85)+('[1]Modelo AHP'!$U$57*[1]aux!AB85)+('[1]Modelo AHP'!$U$58*[1]aux!AC85)+('[1]Modelo AHP'!$U$59*[1]aux!AD85)</f>
        <v>2.2113508383979255E-2</v>
      </c>
      <c r="U5" s="251">
        <f>('[1]Modelo AHP'!$U$23*[1]aux!AE85)+('[1]Modelo AHP'!$U$24*[1]aux!AF85)+('[1]Modelo AHP'!$U$25*[1]aux!AG85)+('[1]Modelo AHP'!$U$26*[1]aux!AH85)+('[1]Modelo AHP'!$U$27*[1]aux!AI85)</f>
        <v>1.1555845772372959E-2</v>
      </c>
    </row>
    <row r="6" spans="1:21" ht="17.25" thickTop="1" thickBot="1">
      <c r="A6" s="260">
        <v>3</v>
      </c>
      <c r="B6" s="259" t="s">
        <v>99</v>
      </c>
      <c r="C6" s="258" t="s">
        <v>100</v>
      </c>
      <c r="D6" s="290">
        <v>11.79</v>
      </c>
      <c r="E6" s="291">
        <v>83.14</v>
      </c>
      <c r="F6" s="292">
        <v>71.868316529178131</v>
      </c>
      <c r="G6" s="293">
        <v>21622.884063982714</v>
      </c>
      <c r="H6" s="290">
        <v>12.9</v>
      </c>
      <c r="I6" s="294">
        <v>14.59</v>
      </c>
      <c r="J6" s="295">
        <v>6.6941894140119542</v>
      </c>
      <c r="K6" s="257">
        <v>43005.1</v>
      </c>
      <c r="L6" s="255">
        <v>6.2042490283507001E-2</v>
      </c>
      <c r="M6" s="256">
        <v>3412</v>
      </c>
      <c r="N6" s="255">
        <v>7.1999999999999995E-2</v>
      </c>
      <c r="O6" s="255">
        <v>8.2000000000000003E-2</v>
      </c>
      <c r="P6" s="254">
        <f>('[1]Modelo AHP'!$U$37*[1]aux!P84)+('[1]Modelo AHP'!$U$38*[1]aux!R84)+('[1]Modelo AHP'!$U$39*[1]aux!S84)</f>
        <v>1.2814288600783687E-2</v>
      </c>
      <c r="Q6" s="253">
        <f>[1]aux!U84</f>
        <v>7.6617888713242394E-3</v>
      </c>
      <c r="R6" s="254">
        <f>('[1]Modelo AHP'!$U$47*[1]aux!V84)+('[1]Modelo AHP'!$U$48*[1]aux!W84)+('[1]Modelo AHP'!$U$49*[1]aux!X84)</f>
        <v>1.2542326447323438E-2</v>
      </c>
      <c r="S6" s="253">
        <f>[1]aux!Z84</f>
        <v>7.6672074176791288E-3</v>
      </c>
      <c r="T6" s="252">
        <f>('[1]Modelo AHP'!$U$56*[1]aux!AA84)+('[1]Modelo AHP'!$U$57*[1]aux!AB84)+('[1]Modelo AHP'!$U$58*[1]aux!AC84)+('[1]Modelo AHP'!$U$59*[1]aux!AD84)</f>
        <v>2.2113508383979255E-2</v>
      </c>
      <c r="U6" s="251">
        <f>('[1]Modelo AHP'!$U$23*[1]aux!AE84)+('[1]Modelo AHP'!$U$24*[1]aux!AF84)+('[1]Modelo AHP'!$U$25*[1]aux!AG84)+('[1]Modelo AHP'!$U$26*[1]aux!AH84)+('[1]Modelo AHP'!$U$27*[1]aux!AI84)</f>
        <v>1.1542827340878307E-2</v>
      </c>
    </row>
    <row r="7" spans="1:21" ht="17.25" thickTop="1" thickBot="1">
      <c r="A7" s="260">
        <v>4</v>
      </c>
      <c r="B7" s="259" t="s">
        <v>99</v>
      </c>
      <c r="C7" s="258" t="s">
        <v>104</v>
      </c>
      <c r="D7" s="290">
        <v>11.02</v>
      </c>
      <c r="E7" s="291">
        <v>83.44</v>
      </c>
      <c r="F7" s="292">
        <v>65.972159039213906</v>
      </c>
      <c r="G7" s="293">
        <v>24110.058894588292</v>
      </c>
      <c r="H7" s="290">
        <v>11.6</v>
      </c>
      <c r="I7" s="294">
        <v>13.244999999999999</v>
      </c>
      <c r="J7" s="295">
        <v>6.6941894140119542</v>
      </c>
      <c r="K7" s="261">
        <v>39910.129999999997</v>
      </c>
      <c r="L7" s="255">
        <v>6.2042490283507001E-2</v>
      </c>
      <c r="M7" s="256">
        <v>3412</v>
      </c>
      <c r="N7" s="255">
        <v>7.1999999999999995E-2</v>
      </c>
      <c r="O7" s="255">
        <v>8.2000000000000003E-2</v>
      </c>
      <c r="P7" s="254">
        <f>('[1]Modelo AHP'!$U$37*[1]aux!P88)+('[1]Modelo AHP'!$U$38*[1]aux!R88)+('[1]Modelo AHP'!$U$39*[1]aux!S88)</f>
        <v>1.1875399103103215E-2</v>
      </c>
      <c r="Q7" s="253">
        <f>[1]aux!U88</f>
        <v>7.65827844028344E-3</v>
      </c>
      <c r="R7" s="254">
        <f>('[1]Modelo AHP'!$U$47*[1]aux!V88)+('[1]Modelo AHP'!$U$48*[1]aux!W88)+('[1]Modelo AHP'!$U$49*[1]aux!X88)</f>
        <v>1.1802488650396459E-2</v>
      </c>
      <c r="S7" s="253">
        <f>[1]aux!Z88</f>
        <v>7.6690138219652985E-3</v>
      </c>
      <c r="T7" s="252">
        <f>('[1]Modelo AHP'!$U$56*[1]aux!AA88)+('[1]Modelo AHP'!$U$57*[1]aux!AB88)+('[1]Modelo AHP'!$U$58*[1]aux!AC88)+('[1]Modelo AHP'!$U$59*[1]aux!AD88)</f>
        <v>2.2113508383979255E-2</v>
      </c>
      <c r="U7" s="251">
        <f>('[1]Modelo AHP'!$U$23*[1]aux!AE88)+('[1]Modelo AHP'!$U$24*[1]aux!AF88)+('[1]Modelo AHP'!$U$25*[1]aux!AG88)+('[1]Modelo AHP'!$U$26*[1]aux!AH88)+('[1]Modelo AHP'!$U$27*[1]aux!AI88)</f>
        <v>1.1132322433585397E-2</v>
      </c>
    </row>
    <row r="8" spans="1:21" ht="17.25" thickTop="1" thickBot="1">
      <c r="A8" s="260">
        <v>5</v>
      </c>
      <c r="B8" s="259" t="s">
        <v>99</v>
      </c>
      <c r="C8" s="258" t="s">
        <v>105</v>
      </c>
      <c r="D8" s="290">
        <v>16.7</v>
      </c>
      <c r="E8" s="291">
        <v>83.75</v>
      </c>
      <c r="F8" s="292">
        <v>58.54269987465257</v>
      </c>
      <c r="G8" s="293">
        <v>25086.174819382722</v>
      </c>
      <c r="H8" s="290">
        <v>10.46</v>
      </c>
      <c r="I8" s="294">
        <v>12.515000000000001</v>
      </c>
      <c r="J8" s="295">
        <v>6.6941894140119542</v>
      </c>
      <c r="K8" s="261">
        <v>46387.27</v>
      </c>
      <c r="L8" s="255">
        <v>6.2042490283507001E-2</v>
      </c>
      <c r="M8" s="256">
        <v>3412</v>
      </c>
      <c r="N8" s="255">
        <v>7.1999999999999995E-2</v>
      </c>
      <c r="O8" s="255">
        <v>8.2000000000000003E-2</v>
      </c>
      <c r="P8" s="254">
        <f>('[1]Modelo AHP'!$U$37*[1]aux!P89)+('[1]Modelo AHP'!$U$38*[1]aux!R89)+('[1]Modelo AHP'!$U$39*[1]aux!S89)</f>
        <v>1.2371002006637238E-2</v>
      </c>
      <c r="Q8" s="253">
        <f>[1]aux!U89</f>
        <v>7.6569007375181779E-3</v>
      </c>
      <c r="R8" s="254">
        <f>('[1]Modelo AHP'!$U$47*[1]aux!V89)+('[1]Modelo AHP'!$U$48*[1]aux!W89)+('[1]Modelo AHP'!$U$49*[1]aux!X89)</f>
        <v>1.1323209509224406E-2</v>
      </c>
      <c r="S8" s="253">
        <f>[1]aux!Z89</f>
        <v>7.665233386788828E-3</v>
      </c>
      <c r="T8" s="252">
        <f>('[1]Modelo AHP'!$U$56*[1]aux!AA89)+('[1]Modelo AHP'!$U$57*[1]aux!AB89)+('[1]Modelo AHP'!$U$58*[1]aux!AC89)+('[1]Modelo AHP'!$U$59*[1]aux!AD89)</f>
        <v>2.2113508383979255E-2</v>
      </c>
      <c r="U8" s="251">
        <f>('[1]Modelo AHP'!$U$23*[1]aux!AE89)+('[1]Modelo AHP'!$U$24*[1]aux!AF89)+('[1]Modelo AHP'!$U$25*[1]aux!AG89)+('[1]Modelo AHP'!$U$26*[1]aux!AH89)+('[1]Modelo AHP'!$U$27*[1]aux!AI89)</f>
        <v>1.1050520509458161E-2</v>
      </c>
    </row>
    <row r="9" spans="1:21" ht="17.25" thickTop="1" thickBot="1">
      <c r="A9" s="260">
        <v>6</v>
      </c>
      <c r="B9" s="259" t="s">
        <v>92</v>
      </c>
      <c r="C9" s="258" t="s">
        <v>98</v>
      </c>
      <c r="D9" s="290">
        <v>31.14</v>
      </c>
      <c r="E9" s="291">
        <v>84.03</v>
      </c>
      <c r="F9" s="292">
        <v>69.125227410551844</v>
      </c>
      <c r="G9" s="293">
        <v>23478.687107608868</v>
      </c>
      <c r="H9" s="290">
        <v>9.2100000000000009</v>
      </c>
      <c r="I9" s="294">
        <v>11.09</v>
      </c>
      <c r="J9" s="295">
        <v>6.0640408047605554</v>
      </c>
      <c r="K9" s="257">
        <v>44223.66</v>
      </c>
      <c r="L9" s="255">
        <v>6.3415453057455828E-2</v>
      </c>
      <c r="M9" s="256">
        <v>1564</v>
      </c>
      <c r="N9" s="255">
        <v>7.0000000000000007E-2</v>
      </c>
      <c r="O9" s="255">
        <v>8.2000000000000003E-2</v>
      </c>
      <c r="P9" s="254">
        <f>('[1]Modelo AHP'!$U$37*[1]aux!P83)+('[1]Modelo AHP'!$U$38*[1]aux!R83)+('[1]Modelo AHP'!$U$39*[1]aux!S83)</f>
        <v>1.7352165892011849E-2</v>
      </c>
      <c r="Q9" s="253">
        <f>[1]aux!U83</f>
        <v>7.6591695666699024E-3</v>
      </c>
      <c r="R9" s="254">
        <f>('[1]Modelo AHP'!$U$47*[1]aux!V83)+('[1]Modelo AHP'!$U$48*[1]aux!W83)+('[1]Modelo AHP'!$U$49*[1]aux!X83)</f>
        <v>1.0116715231806267E-2</v>
      </c>
      <c r="S9" s="253">
        <f>[1]aux!Z83</f>
        <v>7.6664961952740791E-3</v>
      </c>
      <c r="T9" s="252">
        <f>('[1]Modelo AHP'!$U$56*[1]aux!AA83)+('[1]Modelo AHP'!$U$57*[1]aux!AB83)+('[1]Modelo AHP'!$U$58*[1]aux!AC83)+('[1]Modelo AHP'!$U$59*[1]aux!AD83)</f>
        <v>1.3769649467065791E-2</v>
      </c>
      <c r="U9" s="251">
        <f>('[1]Modelo AHP'!$U$23*[1]aux!AE83)+('[1]Modelo AHP'!$U$24*[1]aux!AF83)+('[1]Modelo AHP'!$U$25*[1]aux!AG83)+('[1]Modelo AHP'!$U$26*[1]aux!AH83)+('[1]Modelo AHP'!$U$27*[1]aux!AI83)</f>
        <v>1.0689197194436032E-2</v>
      </c>
    </row>
    <row r="10" spans="1:21" ht="17.25" thickTop="1" thickBot="1">
      <c r="A10" s="260">
        <v>7</v>
      </c>
      <c r="B10" s="259" t="s">
        <v>99</v>
      </c>
      <c r="C10" s="258" t="s">
        <v>103</v>
      </c>
      <c r="D10" s="290">
        <v>8.5</v>
      </c>
      <c r="E10" s="291">
        <v>83.11</v>
      </c>
      <c r="F10" s="292">
        <v>61.142103972535558</v>
      </c>
      <c r="G10" s="293">
        <v>27256.87277488262</v>
      </c>
      <c r="H10" s="290">
        <v>9.94</v>
      </c>
      <c r="I10" s="294">
        <v>11.11</v>
      </c>
      <c r="J10" s="295">
        <v>6.6941894140119542</v>
      </c>
      <c r="K10" s="261">
        <v>42426.87</v>
      </c>
      <c r="L10" s="255">
        <v>6.2042490283507001E-2</v>
      </c>
      <c r="M10" s="256">
        <v>3412</v>
      </c>
      <c r="N10" s="255">
        <v>7.1999999999999995E-2</v>
      </c>
      <c r="O10" s="255">
        <v>8.2000000000000003E-2</v>
      </c>
      <c r="P10" s="254">
        <f>('[1]Modelo AHP'!$U$37*[1]aux!P87)+('[1]Modelo AHP'!$U$38*[1]aux!R87)+('[1]Modelo AHP'!$U$39*[1]aux!S87)</f>
        <v>1.0629436371540549E-2</v>
      </c>
      <c r="Q10" s="253">
        <f>[1]aux!U87</f>
        <v>7.6538369860723928E-3</v>
      </c>
      <c r="R10" s="254">
        <f>('[1]Modelo AHP'!$U$47*[1]aux!V87)+('[1]Modelo AHP'!$U$48*[1]aux!W87)+('[1]Modelo AHP'!$U$49*[1]aux!X87)</f>
        <v>1.0700309882988847E-2</v>
      </c>
      <c r="S10" s="253">
        <f>[1]aux!Z87</f>
        <v>7.6675449062978841E-3</v>
      </c>
      <c r="T10" s="252">
        <f>('[1]Modelo AHP'!$U$56*[1]aux!AA87)+('[1]Modelo AHP'!$U$57*[1]aux!AB87)+('[1]Modelo AHP'!$U$58*[1]aux!AC87)+('[1]Modelo AHP'!$U$59*[1]aux!AD87)</f>
        <v>2.2113508383979255E-2</v>
      </c>
      <c r="U10" s="251">
        <f>('[1]Modelo AHP'!$U$23*[1]aux!AE87)+('[1]Modelo AHP'!$U$24*[1]aux!AF87)+('[1]Modelo AHP'!$U$25*[1]aux!AG87)+('[1]Modelo AHP'!$U$26*[1]aux!AH87)+('[1]Modelo AHP'!$U$27*[1]aux!AI87)</f>
        <v>1.0546203884764294E-2</v>
      </c>
    </row>
    <row r="11" spans="1:21" ht="17.25" thickTop="1" thickBot="1">
      <c r="A11" s="260">
        <v>8</v>
      </c>
      <c r="B11" s="259" t="s">
        <v>99</v>
      </c>
      <c r="C11" s="258" t="s">
        <v>102</v>
      </c>
      <c r="D11" s="290">
        <v>10.95</v>
      </c>
      <c r="E11" s="291">
        <v>84.29</v>
      </c>
      <c r="F11" s="292">
        <v>53.565973836244105</v>
      </c>
      <c r="G11" s="293">
        <v>29095.183958838912</v>
      </c>
      <c r="H11" s="290">
        <v>9.5399999999999991</v>
      </c>
      <c r="I11" s="294">
        <v>10.370000000000001</v>
      </c>
      <c r="J11" s="295">
        <v>6.6941894140119542</v>
      </c>
      <c r="K11" s="261">
        <v>44129.73</v>
      </c>
      <c r="L11" s="255">
        <v>6.2042490283507001E-2</v>
      </c>
      <c r="M11" s="256">
        <v>3412</v>
      </c>
      <c r="N11" s="255">
        <v>7.1999999999999995E-2</v>
      </c>
      <c r="O11" s="255">
        <v>8.2000000000000003E-2</v>
      </c>
      <c r="P11" s="254">
        <f>('[1]Modelo AHP'!$U$37*[1]aux!P86)+('[1]Modelo AHP'!$U$38*[1]aux!R86)+('[1]Modelo AHP'!$U$39*[1]aux!S86)</f>
        <v>1.029114554426212E-2</v>
      </c>
      <c r="Q11" s="253">
        <f>[1]aux!U86</f>
        <v>7.6512423696572553E-3</v>
      </c>
      <c r="R11" s="254">
        <f>('[1]Modelo AHP'!$U$47*[1]aux!V86)+('[1]Modelo AHP'!$U$48*[1]aux!W86)+('[1]Modelo AHP'!$U$49*[1]aux!X86)</f>
        <v>1.0349667793432167E-2</v>
      </c>
      <c r="S11" s="253">
        <f>[1]aux!Z86</f>
        <v>7.6665510182786969E-3</v>
      </c>
      <c r="T11" s="252">
        <f>('[1]Modelo AHP'!$U$56*[1]aux!AA86)+('[1]Modelo AHP'!$U$57*[1]aux!AB86)+('[1]Modelo AHP'!$U$58*[1]aux!AC86)+('[1]Modelo AHP'!$U$59*[1]aux!AD86)</f>
        <v>2.2113508383979255E-2</v>
      </c>
      <c r="U11" s="251">
        <f>('[1]Modelo AHP'!$U$23*[1]aux!AE86)+('[1]Modelo AHP'!$U$24*[1]aux!AF86)+('[1]Modelo AHP'!$U$25*[1]aux!AG86)+('[1]Modelo AHP'!$U$26*[1]aux!AH86)+('[1]Modelo AHP'!$U$27*[1]aux!AI86)</f>
        <v>1.0369013051865168E-2</v>
      </c>
    </row>
    <row r="12" spans="1:21" ht="17.25" thickTop="1" thickBot="1">
      <c r="A12" s="260">
        <v>9</v>
      </c>
      <c r="B12" s="259" t="s">
        <v>129</v>
      </c>
      <c r="C12" s="258" t="s">
        <v>326</v>
      </c>
      <c r="D12" s="290">
        <v>15.21</v>
      </c>
      <c r="E12" s="291">
        <v>83.44</v>
      </c>
      <c r="F12" s="292">
        <v>62.849986581984076</v>
      </c>
      <c r="G12" s="293">
        <v>22696.961787609471</v>
      </c>
      <c r="H12" s="290">
        <v>11.45</v>
      </c>
      <c r="I12" s="294">
        <v>12.65</v>
      </c>
      <c r="J12" s="295">
        <v>6.8197536308873499</v>
      </c>
      <c r="K12" s="257">
        <v>51867.47</v>
      </c>
      <c r="L12" s="255">
        <v>5.0019297568506371E-2</v>
      </c>
      <c r="M12" s="256">
        <v>1625</v>
      </c>
      <c r="N12" s="255">
        <v>6.4000000000000001E-2</v>
      </c>
      <c r="O12" s="255">
        <v>7.1999999999999995E-2</v>
      </c>
      <c r="P12" s="254">
        <f>('[1]Modelo AHP'!$U$37*[1]aux!P111)+('[1]Modelo AHP'!$U$38*[1]aux!R111)+('[1]Modelo AHP'!$U$39*[1]aux!S111)</f>
        <v>1.253879896894871E-2</v>
      </c>
      <c r="Q12" s="253">
        <f>[1]aux!U111</f>
        <v>7.6602729039966302E-3</v>
      </c>
      <c r="R12" s="254">
        <f>('[1]Modelo AHP'!$U$47*[1]aux!V111)+('[1]Modelo AHP'!$U$48*[1]aux!W111)+('[1]Modelo AHP'!$U$49*[1]aux!X111)</f>
        <v>1.164001932778538E-2</v>
      </c>
      <c r="S12" s="253">
        <f>[1]aux!Z111</f>
        <v>7.6620348237109734E-3</v>
      </c>
      <c r="T12" s="252">
        <f>('[1]Modelo AHP'!$U$56*[1]aux!AA111)+('[1]Modelo AHP'!$U$57*[1]aux!AB111)+('[1]Modelo AHP'!$U$58*[1]aux!AC111)+('[1]Modelo AHP'!$U$59*[1]aux!AD111)</f>
        <v>1.3135695939551337E-2</v>
      </c>
      <c r="U12" s="251">
        <f>('[1]Modelo AHP'!$U$23*[1]aux!AE111)+('[1]Modelo AHP'!$U$24*[1]aux!AF111)+('[1]Modelo AHP'!$U$25*[1]aux!AG111)+('[1]Modelo AHP'!$U$26*[1]aux!AH111)+('[1]Modelo AHP'!$U$27*[1]aux!AI111)</f>
        <v>1.0347141659903461E-2</v>
      </c>
    </row>
    <row r="13" spans="1:21" ht="17.25" thickTop="1" thickBot="1">
      <c r="A13" s="260">
        <v>10</v>
      </c>
      <c r="B13" s="259" t="s">
        <v>92</v>
      </c>
      <c r="C13" s="258" t="s">
        <v>94</v>
      </c>
      <c r="D13" s="290">
        <v>12.33</v>
      </c>
      <c r="E13" s="291">
        <v>82.17</v>
      </c>
      <c r="F13" s="292">
        <v>65.261365912277185</v>
      </c>
      <c r="G13" s="293">
        <v>25064.374033605254</v>
      </c>
      <c r="H13" s="290">
        <v>12.32</v>
      </c>
      <c r="I13" s="294">
        <v>13.4</v>
      </c>
      <c r="J13" s="295">
        <v>6.0640408047605554</v>
      </c>
      <c r="K13" s="257">
        <v>53364.35</v>
      </c>
      <c r="L13" s="255">
        <v>6.3415453057455828E-2</v>
      </c>
      <c r="M13" s="256">
        <v>1564</v>
      </c>
      <c r="N13" s="255">
        <v>7.0000000000000007E-2</v>
      </c>
      <c r="O13" s="255">
        <v>8.2000000000000003E-2</v>
      </c>
      <c r="P13" s="254">
        <f>('[1]Modelo AHP'!$U$37*[1]aux!P78)+('[1]Modelo AHP'!$U$38*[1]aux!R78)+('[1]Modelo AHP'!$U$39*[1]aux!S78)</f>
        <v>1.2116404263875231E-2</v>
      </c>
      <c r="Q13" s="253">
        <f>[1]aux!U78</f>
        <v>7.6569315074319633E-3</v>
      </c>
      <c r="R13" s="254">
        <f>('[1]Modelo AHP'!$U$47*[1]aux!V78)+('[1]Modelo AHP'!$U$48*[1]aux!W78)+('[1]Modelo AHP'!$U$49*[1]aux!X78)</f>
        <v>1.1544338929718557E-2</v>
      </c>
      <c r="S13" s="253">
        <f>[1]aux!Z78</f>
        <v>7.6611611575856534E-3</v>
      </c>
      <c r="T13" s="252">
        <f>('[1]Modelo AHP'!$U$56*[1]aux!AA78)+('[1]Modelo AHP'!$U$57*[1]aux!AB78)+('[1]Modelo AHP'!$U$58*[1]aux!AC78)+('[1]Modelo AHP'!$U$59*[1]aux!AD78)</f>
        <v>1.3769649467065791E-2</v>
      </c>
      <c r="U13" s="251">
        <f>('[1]Modelo AHP'!$U$23*[1]aux!AE78)+('[1]Modelo AHP'!$U$24*[1]aux!AF78)+('[1]Modelo AHP'!$U$25*[1]aux!AG78)+('[1]Modelo AHP'!$U$26*[1]aux!AH78)+('[1]Modelo AHP'!$U$27*[1]aux!AI78)</f>
        <v>1.0302160146454523E-2</v>
      </c>
    </row>
    <row r="14" spans="1:21" ht="17.25" thickTop="1" thickBot="1">
      <c r="A14" s="260">
        <v>11</v>
      </c>
      <c r="B14" s="259" t="s">
        <v>92</v>
      </c>
      <c r="C14" s="258" t="s">
        <v>96</v>
      </c>
      <c r="D14" s="290">
        <v>24.41</v>
      </c>
      <c r="E14" s="291">
        <v>83.77</v>
      </c>
      <c r="F14" s="292">
        <v>60.182238032827811</v>
      </c>
      <c r="G14" s="293">
        <v>25886.787822663809</v>
      </c>
      <c r="H14" s="290">
        <v>9.43</v>
      </c>
      <c r="I14" s="294">
        <v>11.329999999999998</v>
      </c>
      <c r="J14" s="295">
        <v>6.0640408047605554</v>
      </c>
      <c r="K14" s="257">
        <v>54568.06</v>
      </c>
      <c r="L14" s="255">
        <v>6.3415453057455828E-2</v>
      </c>
      <c r="M14" s="256">
        <v>1564</v>
      </c>
      <c r="N14" s="255">
        <v>7.0000000000000007E-2</v>
      </c>
      <c r="O14" s="255">
        <v>8.2000000000000003E-2</v>
      </c>
      <c r="P14" s="254">
        <f>('[1]Modelo AHP'!$U$37*[1]aux!P80)+('[1]Modelo AHP'!$U$38*[1]aux!R80)+('[1]Modelo AHP'!$U$39*[1]aux!S80)</f>
        <v>1.4524175239570464E-2</v>
      </c>
      <c r="Q14" s="253">
        <f>[1]aux!U80</f>
        <v>7.6557707418685754E-3</v>
      </c>
      <c r="R14" s="254">
        <f>('[1]Modelo AHP'!$U$47*[1]aux!V80)+('[1]Modelo AHP'!$U$48*[1]aux!W80)+('[1]Modelo AHP'!$U$49*[1]aux!X80)</f>
        <v>1.0246589058401985E-2</v>
      </c>
      <c r="S14" s="253">
        <f>[1]aux!Z80</f>
        <v>7.6604586025032758E-3</v>
      </c>
      <c r="T14" s="252">
        <f>('[1]Modelo AHP'!$U$56*[1]aux!AA80)+('[1]Modelo AHP'!$U$57*[1]aux!AB80)+('[1]Modelo AHP'!$U$58*[1]aux!AC80)+('[1]Modelo AHP'!$U$59*[1]aux!AD80)</f>
        <v>1.3769649467065791E-2</v>
      </c>
      <c r="U14" s="251">
        <f>('[1]Modelo AHP'!$U$23*[1]aux!AE80)+('[1]Modelo AHP'!$U$24*[1]aux!AF80)+('[1]Modelo AHP'!$U$25*[1]aux!AG80)+('[1]Modelo AHP'!$U$26*[1]aux!AH80)+('[1]Modelo AHP'!$U$27*[1]aux!AI80)</f>
        <v>1.0260079087453026E-2</v>
      </c>
    </row>
    <row r="15" spans="1:21" ht="17.25" thickTop="1" thickBot="1">
      <c r="A15" s="260">
        <v>12</v>
      </c>
      <c r="B15" s="259" t="s">
        <v>92</v>
      </c>
      <c r="C15" s="258" t="s">
        <v>324</v>
      </c>
      <c r="D15" s="290">
        <v>19.600000000000001</v>
      </c>
      <c r="E15" s="291">
        <v>85.28</v>
      </c>
      <c r="F15" s="292">
        <v>63.022508038585208</v>
      </c>
      <c r="G15" s="293">
        <v>25753.380382685125</v>
      </c>
      <c r="H15" s="290">
        <v>9.36</v>
      </c>
      <c r="I15" s="294">
        <v>11.245000000000001</v>
      </c>
      <c r="J15" s="295">
        <v>6.0640408047605554</v>
      </c>
      <c r="K15" s="257">
        <v>42205.62</v>
      </c>
      <c r="L15" s="255">
        <v>6.3415453057455828E-2</v>
      </c>
      <c r="M15" s="256">
        <v>1564</v>
      </c>
      <c r="N15" s="255">
        <v>7.0000000000000007E-2</v>
      </c>
      <c r="O15" s="255">
        <v>8.2000000000000003E-2</v>
      </c>
      <c r="P15" s="254">
        <f>('[1]Modelo AHP'!$U$37*[1]aux!P82)+('[1]Modelo AHP'!$U$38*[1]aux!R82)+('[1]Modelo AHP'!$U$39*[1]aux!S82)</f>
        <v>1.3668575341798224E-2</v>
      </c>
      <c r="Q15" s="253">
        <f>[1]aux!U82</f>
        <v>7.655959034871789E-3</v>
      </c>
      <c r="R15" s="254">
        <f>('[1]Modelo AHP'!$U$47*[1]aux!V82)+('[1]Modelo AHP'!$U$48*[1]aux!W82)+('[1]Modelo AHP'!$U$49*[1]aux!X82)</f>
        <v>1.0202008608049267E-2</v>
      </c>
      <c r="S15" s="253">
        <f>[1]aux!Z82</f>
        <v>7.6676740406508232E-3</v>
      </c>
      <c r="T15" s="252">
        <f>('[1]Modelo AHP'!$U$56*[1]aux!AA82)+('[1]Modelo AHP'!$U$57*[1]aux!AB82)+('[1]Modelo AHP'!$U$58*[1]aux!AC82)+('[1]Modelo AHP'!$U$59*[1]aux!AD82)</f>
        <v>1.3769649467065791E-2</v>
      </c>
      <c r="U15" s="251">
        <f>('[1]Modelo AHP'!$U$23*[1]aux!AE82)+('[1]Modelo AHP'!$U$24*[1]aux!AF82)+('[1]Modelo AHP'!$U$25*[1]aux!AG82)+('[1]Modelo AHP'!$U$26*[1]aux!AH82)+('[1]Modelo AHP'!$U$27*[1]aux!AI82)</f>
        <v>1.0102661055107978E-2</v>
      </c>
    </row>
    <row r="16" spans="1:21" ht="17.25" thickTop="1" thickBot="1">
      <c r="A16" s="260">
        <v>13</v>
      </c>
      <c r="B16" s="259" t="s">
        <v>84</v>
      </c>
      <c r="C16" s="258" t="s">
        <v>87</v>
      </c>
      <c r="D16" s="290">
        <v>15.09</v>
      </c>
      <c r="E16" s="291">
        <v>84.27</v>
      </c>
      <c r="F16" s="292">
        <v>55.626594229304004</v>
      </c>
      <c r="G16" s="293">
        <v>26487.127214945063</v>
      </c>
      <c r="H16" s="290">
        <v>11.29</v>
      </c>
      <c r="I16" s="294">
        <v>13.5</v>
      </c>
      <c r="J16" s="295">
        <v>5.5691431542133367</v>
      </c>
      <c r="K16" s="257">
        <v>50371.49</v>
      </c>
      <c r="L16" s="255">
        <v>4.7766711161310198E-2</v>
      </c>
      <c r="M16" s="256">
        <v>2027</v>
      </c>
      <c r="N16" s="255">
        <v>5.3999999999999999E-2</v>
      </c>
      <c r="O16" s="255">
        <v>5.7000000000000002E-2</v>
      </c>
      <c r="P16" s="254">
        <f>('[1]Modelo AHP'!$U$37*[1]aux!P72)+('[1]Modelo AHP'!$U$38*[1]aux!R72)+('[1]Modelo AHP'!$U$39*[1]aux!S72)</f>
        <v>1.1596355591380104E-2</v>
      </c>
      <c r="Q16" s="253">
        <f>[1]aux!U72</f>
        <v>7.6549234150093031E-3</v>
      </c>
      <c r="R16" s="254">
        <f>('[1]Modelo AHP'!$U$47*[1]aux!V72)+('[1]Modelo AHP'!$U$48*[1]aux!W72)+('[1]Modelo AHP'!$U$49*[1]aux!X72)</f>
        <v>1.1047924720993391E-2</v>
      </c>
      <c r="S16" s="253">
        <f>[1]aux!Z72</f>
        <v>7.6629079645440098E-3</v>
      </c>
      <c r="T16" s="252">
        <f>('[1]Modelo AHP'!$U$56*[1]aux!AA72)+('[1]Modelo AHP'!$U$57*[1]aux!AB72)+('[1]Modelo AHP'!$U$58*[1]aux!AC72)+('[1]Modelo AHP'!$U$59*[1]aux!AD72)</f>
        <v>1.4144509796954913E-2</v>
      </c>
      <c r="U16" s="251">
        <f>('[1]Modelo AHP'!$U$23*[1]aux!AE72)+('[1]Modelo AHP'!$U$24*[1]aux!AF72)+('[1]Modelo AHP'!$U$25*[1]aux!AG72)+('[1]Modelo AHP'!$U$26*[1]aux!AH72)+('[1]Modelo AHP'!$U$27*[1]aux!AI72)</f>
        <v>1.0080311715621074E-2</v>
      </c>
    </row>
    <row r="17" spans="1:21" ht="17.25" thickTop="1" thickBot="1">
      <c r="A17" s="260">
        <v>14</v>
      </c>
      <c r="B17" s="259" t="s">
        <v>92</v>
      </c>
      <c r="C17" s="258" t="s">
        <v>97</v>
      </c>
      <c r="D17" s="290">
        <v>23.71</v>
      </c>
      <c r="E17" s="291">
        <v>84.76</v>
      </c>
      <c r="F17" s="292">
        <v>57.133082449538144</v>
      </c>
      <c r="G17" s="293">
        <v>26567.264148777758</v>
      </c>
      <c r="H17" s="290">
        <v>8.56</v>
      </c>
      <c r="I17" s="294">
        <v>10.879999999999999</v>
      </c>
      <c r="J17" s="295">
        <v>6.0640408047605554</v>
      </c>
      <c r="K17" s="257">
        <v>51812.13</v>
      </c>
      <c r="L17" s="255">
        <v>6.3415453057455828E-2</v>
      </c>
      <c r="M17" s="256">
        <v>1564</v>
      </c>
      <c r="N17" s="255">
        <v>7.0000000000000007E-2</v>
      </c>
      <c r="O17" s="255">
        <v>8.2000000000000003E-2</v>
      </c>
      <c r="P17" s="254">
        <f>('[1]Modelo AHP'!$U$37*[1]aux!P81)+('[1]Modelo AHP'!$U$38*[1]aux!R81)+('[1]Modelo AHP'!$U$39*[1]aux!S81)</f>
        <v>1.3962397424467974E-2</v>
      </c>
      <c r="Q17" s="253">
        <f>[1]aux!U81</f>
        <v>7.6548103086942253E-3</v>
      </c>
      <c r="R17" s="254">
        <f>('[1]Modelo AHP'!$U$47*[1]aux!V81)+('[1]Modelo AHP'!$U$48*[1]aux!W81)+('[1]Modelo AHP'!$U$49*[1]aux!X81)</f>
        <v>9.9212151161599087E-3</v>
      </c>
      <c r="S17" s="253">
        <f>[1]aux!Z81</f>
        <v>7.662067123349805E-3</v>
      </c>
      <c r="T17" s="252">
        <f>('[1]Modelo AHP'!$U$56*[1]aux!AA81)+('[1]Modelo AHP'!$U$57*[1]aux!AB81)+('[1]Modelo AHP'!$U$58*[1]aux!AC81)+('[1]Modelo AHP'!$U$59*[1]aux!AD81)</f>
        <v>1.3769649467065791E-2</v>
      </c>
      <c r="U17" s="251">
        <f>('[1]Modelo AHP'!$U$23*[1]aux!AE81)+('[1]Modelo AHP'!$U$24*[1]aux!AF81)+('[1]Modelo AHP'!$U$25*[1]aux!AG81)+('[1]Modelo AHP'!$U$26*[1]aux!AH81)+('[1]Modelo AHP'!$U$27*[1]aux!AI81)</f>
        <v>1.0054949209831146E-2</v>
      </c>
    </row>
    <row r="18" spans="1:21" ht="17.25" thickTop="1" thickBot="1">
      <c r="A18" s="260">
        <v>15</v>
      </c>
      <c r="B18" s="259" t="s">
        <v>129</v>
      </c>
      <c r="C18" s="258" t="s">
        <v>133</v>
      </c>
      <c r="D18" s="290">
        <v>12.57</v>
      </c>
      <c r="E18" s="291">
        <v>84.88</v>
      </c>
      <c r="F18" s="292">
        <v>57.654525609411003</v>
      </c>
      <c r="G18" s="293">
        <v>28412.972147409684</v>
      </c>
      <c r="H18" s="290">
        <v>10.24</v>
      </c>
      <c r="I18" s="294">
        <v>12.515000000000001</v>
      </c>
      <c r="J18" s="295">
        <v>6.8197536308873499</v>
      </c>
      <c r="K18" s="257">
        <v>59718.09</v>
      </c>
      <c r="L18" s="255">
        <v>5.0019297568506371E-2</v>
      </c>
      <c r="M18" s="256">
        <v>1625</v>
      </c>
      <c r="N18" s="255">
        <v>6.4000000000000001E-2</v>
      </c>
      <c r="O18" s="255">
        <v>7.1999999999999995E-2</v>
      </c>
      <c r="P18" s="254">
        <f>('[1]Modelo AHP'!$U$37*[1]aux!P115)+('[1]Modelo AHP'!$U$38*[1]aux!R115)+('[1]Modelo AHP'!$U$39*[1]aux!S115)</f>
        <v>1.1216283762651293E-2</v>
      </c>
      <c r="Q18" s="253">
        <f>[1]aux!U115</f>
        <v>7.6522052523182449E-3</v>
      </c>
      <c r="R18" s="254">
        <f>('[1]Modelo AHP'!$U$47*[1]aux!V115)+('[1]Modelo AHP'!$U$48*[1]aux!W115)+('[1]Modelo AHP'!$U$49*[1]aux!X115)</f>
        <v>1.1372602487213366E-2</v>
      </c>
      <c r="S18" s="253">
        <f>[1]aux!Z115</f>
        <v>7.657452745817782E-3</v>
      </c>
      <c r="T18" s="252">
        <f>('[1]Modelo AHP'!$U$56*[1]aux!AA115)+('[1]Modelo AHP'!$U$57*[1]aux!AB115)+('[1]Modelo AHP'!$U$58*[1]aux!AC115)+('[1]Modelo AHP'!$U$59*[1]aux!AD115)</f>
        <v>1.3135695939551337E-2</v>
      </c>
      <c r="U18" s="251">
        <f>('[1]Modelo AHP'!$U$23*[1]aux!AE115)+('[1]Modelo AHP'!$U$24*[1]aux!AF115)+('[1]Modelo AHP'!$U$25*[1]aux!AG115)+('[1]Modelo AHP'!$U$26*[1]aux!AH115)+('[1]Modelo AHP'!$U$27*[1]aux!AI115)</f>
        <v>1.0032103437261549E-2</v>
      </c>
    </row>
    <row r="19" spans="1:21" ht="17.25" thickTop="1" thickBot="1">
      <c r="A19" s="260">
        <v>16</v>
      </c>
      <c r="B19" s="259" t="s">
        <v>84</v>
      </c>
      <c r="C19" s="258" t="s">
        <v>89</v>
      </c>
      <c r="D19" s="290">
        <v>17.829999999999998</v>
      </c>
      <c r="E19" s="291">
        <v>84.03</v>
      </c>
      <c r="F19" s="292">
        <v>59.108786131581965</v>
      </c>
      <c r="G19" s="293">
        <v>26011.611799613318</v>
      </c>
      <c r="H19" s="290">
        <v>9.98</v>
      </c>
      <c r="I19" s="294">
        <v>11.785</v>
      </c>
      <c r="J19" s="295">
        <v>5.5691431542133367</v>
      </c>
      <c r="K19" s="257">
        <v>50154.26</v>
      </c>
      <c r="L19" s="255">
        <v>4.7766711161310198E-2</v>
      </c>
      <c r="M19" s="256">
        <v>2027</v>
      </c>
      <c r="N19" s="255">
        <v>5.3999999999999999E-2</v>
      </c>
      <c r="O19" s="255">
        <v>5.7000000000000002E-2</v>
      </c>
      <c r="P19" s="254">
        <f>('[1]Modelo AHP'!$U$37*[1]aux!P74)+('[1]Modelo AHP'!$U$38*[1]aux!R74)+('[1]Modelo AHP'!$U$39*[1]aux!S74)</f>
        <v>1.2727695663695037E-2</v>
      </c>
      <c r="Q19" s="253">
        <f>[1]aux!U74</f>
        <v>7.6555945636771873E-3</v>
      </c>
      <c r="R19" s="254">
        <f>('[1]Modelo AHP'!$U$47*[1]aux!V74)+('[1]Modelo AHP'!$U$48*[1]aux!W74)+('[1]Modelo AHP'!$U$49*[1]aux!X74)</f>
        <v>1.0166762596886477E-2</v>
      </c>
      <c r="S19" s="253">
        <f>[1]aux!Z74</f>
        <v>7.663034752591418E-3</v>
      </c>
      <c r="T19" s="252">
        <f>('[1]Modelo AHP'!$U$56*[1]aux!AA74)+('[1]Modelo AHP'!$U$57*[1]aux!AB74)+('[1]Modelo AHP'!$U$58*[1]aux!AC74)+('[1]Modelo AHP'!$U$59*[1]aux!AD74)</f>
        <v>1.4144509796954913E-2</v>
      </c>
      <c r="U19" s="251">
        <f>('[1]Modelo AHP'!$U$23*[1]aux!AE74)+('[1]Modelo AHP'!$U$24*[1]aux!AF74)+('[1]Modelo AHP'!$U$25*[1]aux!AG74)+('[1]Modelo AHP'!$U$26*[1]aux!AH74)+('[1]Modelo AHP'!$U$27*[1]aux!AI74)</f>
        <v>9.9682256364620192E-3</v>
      </c>
    </row>
    <row r="20" spans="1:21" ht="17.25" thickTop="1" thickBot="1">
      <c r="A20" s="260">
        <v>17</v>
      </c>
      <c r="B20" s="259" t="s">
        <v>92</v>
      </c>
      <c r="C20" s="258" t="s">
        <v>95</v>
      </c>
      <c r="D20" s="290">
        <v>15.36</v>
      </c>
      <c r="E20" s="291">
        <v>82.93</v>
      </c>
      <c r="F20" s="292">
        <v>58.775631500742939</v>
      </c>
      <c r="G20" s="293">
        <v>25998.218905385784</v>
      </c>
      <c r="H20" s="290">
        <v>10.11</v>
      </c>
      <c r="I20" s="294">
        <v>11.34</v>
      </c>
      <c r="J20" s="295">
        <v>6.0640408047605554</v>
      </c>
      <c r="K20" s="257">
        <v>50516.83</v>
      </c>
      <c r="L20" s="255">
        <v>6.3415453057455828E-2</v>
      </c>
      <c r="M20" s="256">
        <v>1564</v>
      </c>
      <c r="N20" s="255">
        <v>7.0000000000000007E-2</v>
      </c>
      <c r="O20" s="255">
        <v>8.2000000000000003E-2</v>
      </c>
      <c r="P20" s="254">
        <f>('[1]Modelo AHP'!$U$37*[1]aux!P79)+('[1]Modelo AHP'!$U$38*[1]aux!R79)+('[1]Modelo AHP'!$U$39*[1]aux!S79)</f>
        <v>1.2062229483768458E-2</v>
      </c>
      <c r="Q20" s="253">
        <f>[1]aux!U79</f>
        <v>7.6556134665830252E-3</v>
      </c>
      <c r="R20" s="254">
        <f>('[1]Modelo AHP'!$U$47*[1]aux!V79)+('[1]Modelo AHP'!$U$48*[1]aux!W79)+('[1]Modelo AHP'!$U$49*[1]aux!X79)</f>
        <v>1.0372032738311516E-2</v>
      </c>
      <c r="S20" s="253">
        <f>[1]aux!Z79</f>
        <v>7.6628231356768639E-3</v>
      </c>
      <c r="T20" s="252">
        <f>('[1]Modelo AHP'!$U$56*[1]aux!AA79)+('[1]Modelo AHP'!$U$57*[1]aux!AB79)+('[1]Modelo AHP'!$U$58*[1]aux!AC79)+('[1]Modelo AHP'!$U$59*[1]aux!AD79)</f>
        <v>1.3769649467065791E-2</v>
      </c>
      <c r="U20" s="251">
        <f>('[1]Modelo AHP'!$U$23*[1]aux!AE79)+('[1]Modelo AHP'!$U$24*[1]aux!AF79)+('[1]Modelo AHP'!$U$25*[1]aux!AG79)+('[1]Modelo AHP'!$U$26*[1]aux!AH79)+('[1]Modelo AHP'!$U$27*[1]aux!AI79)</f>
        <v>9.8922116879225867E-3</v>
      </c>
    </row>
    <row r="21" spans="1:21" ht="17.25" thickTop="1" thickBot="1">
      <c r="A21" s="260">
        <v>18</v>
      </c>
      <c r="B21" s="259" t="s">
        <v>134</v>
      </c>
      <c r="C21" s="258" t="s">
        <v>135</v>
      </c>
      <c r="D21" s="290">
        <v>11.52</v>
      </c>
      <c r="E21" s="291">
        <v>85.07</v>
      </c>
      <c r="F21" s="292">
        <v>63.642253136933988</v>
      </c>
      <c r="G21" s="293">
        <v>24526.326754270107</v>
      </c>
      <c r="H21" s="290">
        <v>12.36</v>
      </c>
      <c r="I21" s="294">
        <v>13.25</v>
      </c>
      <c r="J21" s="295">
        <v>5.9143306261461879</v>
      </c>
      <c r="K21" s="257">
        <v>55401.06</v>
      </c>
      <c r="L21" s="255">
        <v>4.665167234999637E-2</v>
      </c>
      <c r="M21" s="256">
        <v>1388</v>
      </c>
      <c r="N21" s="255">
        <v>3.6999999999999998E-2</v>
      </c>
      <c r="O21" s="255">
        <v>5.2999999999999999E-2</v>
      </c>
      <c r="P21" s="254">
        <f>('[1]Modelo AHP'!$U$37*[1]aux!P116)+('[1]Modelo AHP'!$U$38*[1]aux!R116)+('[1]Modelo AHP'!$U$39*[1]aux!S116)</f>
        <v>1.1707299262932548E-2</v>
      </c>
      <c r="Q21" s="253">
        <f>[1]aux!U116</f>
        <v>7.6576909143894287E-3</v>
      </c>
      <c r="R21" s="254">
        <f>('[1]Modelo AHP'!$U$47*[1]aux!V116)+('[1]Modelo AHP'!$U$48*[1]aux!W116)+('[1]Modelo AHP'!$U$49*[1]aux!X116)</f>
        <v>1.1389102221276644E-2</v>
      </c>
      <c r="S21" s="253">
        <f>[1]aux!Z116</f>
        <v>7.6599724153123246E-3</v>
      </c>
      <c r="T21" s="252">
        <f>('[1]Modelo AHP'!$U$56*[1]aux!AA116)+('[1]Modelo AHP'!$U$57*[1]aux!AB116)+('[1]Modelo AHP'!$U$58*[1]aux!AC116)+('[1]Modelo AHP'!$U$59*[1]aux!AD116)</f>
        <v>1.0442936896404364E-2</v>
      </c>
      <c r="U21" s="251">
        <f>('[1]Modelo AHP'!$U$23*[1]aux!AE116)+('[1]Modelo AHP'!$U$24*[1]aux!AF116)+('[1]Modelo AHP'!$U$25*[1]aux!AG116)+('[1]Modelo AHP'!$U$26*[1]aux!AH116)+('[1]Modelo AHP'!$U$27*[1]aux!AI116)</f>
        <v>9.8695514165923239E-3</v>
      </c>
    </row>
    <row r="22" spans="1:21" ht="17.25" thickTop="1" thickBot="1">
      <c r="A22" s="260">
        <v>19</v>
      </c>
      <c r="B22" s="259" t="s">
        <v>139</v>
      </c>
      <c r="C22" s="258" t="s">
        <v>142</v>
      </c>
      <c r="D22" s="290">
        <v>12.49</v>
      </c>
      <c r="E22" s="291">
        <v>82.14</v>
      </c>
      <c r="F22" s="292">
        <v>67.681137030743088</v>
      </c>
      <c r="G22" s="293">
        <v>21961.534343840489</v>
      </c>
      <c r="H22" s="290">
        <v>13.08</v>
      </c>
      <c r="I22" s="294">
        <v>14.82</v>
      </c>
      <c r="J22" s="295">
        <v>4.4781942315730809</v>
      </c>
      <c r="K22" s="257">
        <v>46895.42</v>
      </c>
      <c r="L22" s="255">
        <v>4.7936085219707054E-2</v>
      </c>
      <c r="M22" s="256">
        <v>826</v>
      </c>
      <c r="N22" s="255">
        <v>6.3E-2</v>
      </c>
      <c r="O22" s="255">
        <v>6.9000000000000006E-2</v>
      </c>
      <c r="P22" s="254">
        <f>('[1]Modelo AHP'!$U$37*[1]aux!P125)+('[1]Modelo AHP'!$U$38*[1]aux!R125)+('[1]Modelo AHP'!$U$39*[1]aux!S125)</f>
        <v>1.2462337178890601E-2</v>
      </c>
      <c r="Q22" s="253">
        <f>[1]aux!U125</f>
        <v>7.6613108958961508E-3</v>
      </c>
      <c r="R22" s="254">
        <f>('[1]Modelo AHP'!$U$47*[1]aux!V125)+('[1]Modelo AHP'!$U$48*[1]aux!W125)+('[1]Modelo AHP'!$U$49*[1]aux!X125)</f>
        <v>1.1094850978946405E-2</v>
      </c>
      <c r="S22" s="253">
        <f>[1]aux!Z125</f>
        <v>7.6649368009291856E-3</v>
      </c>
      <c r="T22" s="252">
        <f>('[1]Modelo AHP'!$U$56*[1]aux!AA125)+('[1]Modelo AHP'!$U$57*[1]aux!AB125)+('[1]Modelo AHP'!$U$58*[1]aux!AC125)+('[1]Modelo AHP'!$U$59*[1]aux!AD125)</f>
        <v>9.3708301711294059E-3</v>
      </c>
      <c r="U22" s="251">
        <f>('[1]Modelo AHP'!$U$23*[1]aux!AE125)+('[1]Modelo AHP'!$U$24*[1]aux!AF125)+('[1]Modelo AHP'!$U$25*[1]aux!AG125)+('[1]Modelo AHP'!$U$26*[1]aux!AH125)+('[1]Modelo AHP'!$U$27*[1]aux!AI125)</f>
        <v>9.7961743665905005E-3</v>
      </c>
    </row>
    <row r="23" spans="1:21" ht="17.25" thickTop="1" thickBot="1">
      <c r="A23" s="260">
        <v>20</v>
      </c>
      <c r="B23" s="259" t="s">
        <v>129</v>
      </c>
      <c r="C23" s="258" t="s">
        <v>132</v>
      </c>
      <c r="D23" s="290">
        <v>15.06</v>
      </c>
      <c r="E23" s="291">
        <v>84.38</v>
      </c>
      <c r="F23" s="292">
        <v>56.926461571753165</v>
      </c>
      <c r="G23" s="293">
        <v>28679.350949633899</v>
      </c>
      <c r="H23" s="290">
        <v>9.19</v>
      </c>
      <c r="I23" s="294">
        <v>10.395</v>
      </c>
      <c r="J23" s="295">
        <v>6.8197536308873499</v>
      </c>
      <c r="K23" s="257">
        <v>52127.25</v>
      </c>
      <c r="L23" s="255">
        <v>5.0019297568506371E-2</v>
      </c>
      <c r="M23" s="256">
        <v>1625</v>
      </c>
      <c r="N23" s="255">
        <v>6.4000000000000001E-2</v>
      </c>
      <c r="O23" s="255">
        <v>7.1999999999999995E-2</v>
      </c>
      <c r="P23" s="254">
        <f>('[1]Modelo AHP'!$U$37*[1]aux!P114)+('[1]Modelo AHP'!$U$38*[1]aux!R114)+('[1]Modelo AHP'!$U$39*[1]aux!S114)</f>
        <v>1.1752909280013067E-2</v>
      </c>
      <c r="Q23" s="253">
        <f>[1]aux!U114</f>
        <v>7.6518292817976232E-3</v>
      </c>
      <c r="R23" s="254">
        <f>('[1]Modelo AHP'!$U$47*[1]aux!V114)+('[1]Modelo AHP'!$U$48*[1]aux!W114)+('[1]Modelo AHP'!$U$49*[1]aux!X114)</f>
        <v>1.0385227901694556E-2</v>
      </c>
      <c r="S23" s="253">
        <f>[1]aux!Z114</f>
        <v>7.6618832010117346E-3</v>
      </c>
      <c r="T23" s="252">
        <f>('[1]Modelo AHP'!$U$56*[1]aux!AA114)+('[1]Modelo AHP'!$U$57*[1]aux!AB114)+('[1]Modelo AHP'!$U$58*[1]aux!AC114)+('[1]Modelo AHP'!$U$59*[1]aux!AD114)</f>
        <v>1.3135695939551337E-2</v>
      </c>
      <c r="U23" s="251">
        <f>('[1]Modelo AHP'!$U$23*[1]aux!AE114)+('[1]Modelo AHP'!$U$24*[1]aux!AF114)+('[1]Modelo AHP'!$U$25*[1]aux!AG114)+('[1]Modelo AHP'!$U$26*[1]aux!AH114)+('[1]Modelo AHP'!$U$27*[1]aux!AI114)</f>
        <v>9.7844585275023762E-3</v>
      </c>
    </row>
    <row r="24" spans="1:21" ht="17.25" thickTop="1" thickBot="1">
      <c r="A24" s="260">
        <v>21</v>
      </c>
      <c r="B24" s="259" t="s">
        <v>84</v>
      </c>
      <c r="C24" s="258" t="s">
        <v>88</v>
      </c>
      <c r="D24" s="290">
        <v>18.13</v>
      </c>
      <c r="E24" s="291">
        <v>84.54</v>
      </c>
      <c r="F24" s="292">
        <v>55.851786159687386</v>
      </c>
      <c r="G24" s="293">
        <v>28128.119823861882</v>
      </c>
      <c r="H24" s="290">
        <v>8.9</v>
      </c>
      <c r="I24" s="294">
        <v>10.815000000000001</v>
      </c>
      <c r="J24" s="295">
        <v>5.5691431542133367</v>
      </c>
      <c r="K24" s="257">
        <v>53391.4</v>
      </c>
      <c r="L24" s="255">
        <v>4.7766711161310198E-2</v>
      </c>
      <c r="M24" s="256">
        <v>2027</v>
      </c>
      <c r="N24" s="255">
        <v>5.3999999999999999E-2</v>
      </c>
      <c r="O24" s="255">
        <v>5.7000000000000002E-2</v>
      </c>
      <c r="P24" s="254">
        <f>('[1]Modelo AHP'!$U$37*[1]aux!P73)+('[1]Modelo AHP'!$U$38*[1]aux!R73)+('[1]Modelo AHP'!$U$39*[1]aux!S73)</f>
        <v>1.2392125632628122E-2</v>
      </c>
      <c r="Q24" s="253">
        <f>[1]aux!U73</f>
        <v>7.6526072966081439E-3</v>
      </c>
      <c r="R24" s="254">
        <f>('[1]Modelo AHP'!$U$47*[1]aux!V73)+('[1]Modelo AHP'!$U$48*[1]aux!W73)+('[1]Modelo AHP'!$U$49*[1]aux!X73)</f>
        <v>9.6077100550531931E-3</v>
      </c>
      <c r="S24" s="253">
        <f>[1]aux!Z73</f>
        <v>7.661145369634254E-3</v>
      </c>
      <c r="T24" s="252">
        <f>('[1]Modelo AHP'!$U$56*[1]aux!AA73)+('[1]Modelo AHP'!$U$57*[1]aux!AB73)+('[1]Modelo AHP'!$U$58*[1]aux!AC73)+('[1]Modelo AHP'!$U$59*[1]aux!AD73)</f>
        <v>1.4144509796954913E-2</v>
      </c>
      <c r="U24" s="251">
        <f>('[1]Modelo AHP'!$U$23*[1]aux!AE73)+('[1]Modelo AHP'!$U$24*[1]aux!AF73)+('[1]Modelo AHP'!$U$25*[1]aux!AG73)+('[1]Modelo AHP'!$U$26*[1]aux!AH73)+('[1]Modelo AHP'!$U$27*[1]aux!AI73)</f>
        <v>9.7200756769624842E-3</v>
      </c>
    </row>
    <row r="25" spans="1:21" ht="17.25" thickTop="1" thickBot="1">
      <c r="A25" s="260">
        <v>22</v>
      </c>
      <c r="B25" s="259" t="s">
        <v>84</v>
      </c>
      <c r="C25" s="258" t="s">
        <v>91</v>
      </c>
      <c r="D25" s="290">
        <v>15.71</v>
      </c>
      <c r="E25" s="291">
        <v>84.69</v>
      </c>
      <c r="F25" s="292">
        <v>55.782133929746088</v>
      </c>
      <c r="G25" s="293">
        <v>28513.255985806878</v>
      </c>
      <c r="H25" s="290">
        <v>9.57</v>
      </c>
      <c r="I25" s="294">
        <v>11.135</v>
      </c>
      <c r="J25" s="295">
        <v>5.5691431542133367</v>
      </c>
      <c r="K25" s="257">
        <v>50998.55</v>
      </c>
      <c r="L25" s="255">
        <v>4.7766711161310198E-2</v>
      </c>
      <c r="M25" s="256">
        <v>2027</v>
      </c>
      <c r="N25" s="255">
        <v>5.3999999999999999E-2</v>
      </c>
      <c r="O25" s="255">
        <v>5.7000000000000002E-2</v>
      </c>
      <c r="P25" s="254">
        <f>('[1]Modelo AHP'!$U$37*[1]aux!P76)+('[1]Modelo AHP'!$U$38*[1]aux!R76)+('[1]Modelo AHP'!$U$39*[1]aux!S76)</f>
        <v>1.1772466267159769E-2</v>
      </c>
      <c r="Q25" s="253">
        <f>[1]aux!U76</f>
        <v>7.6520637103989278E-3</v>
      </c>
      <c r="R25" s="254">
        <f>('[1]Modelo AHP'!$U$47*[1]aux!V76)+('[1]Modelo AHP'!$U$48*[1]aux!W76)+('[1]Modelo AHP'!$U$49*[1]aux!X76)</f>
        <v>9.8482721587355455E-3</v>
      </c>
      <c r="S25" s="253">
        <f>[1]aux!Z76</f>
        <v>7.6625419759006027E-3</v>
      </c>
      <c r="T25" s="252">
        <f>('[1]Modelo AHP'!$U$56*[1]aux!AA76)+('[1]Modelo AHP'!$U$57*[1]aux!AB76)+('[1]Modelo AHP'!$U$58*[1]aux!AC76)+('[1]Modelo AHP'!$U$59*[1]aux!AD76)</f>
        <v>1.4144509796954913E-2</v>
      </c>
      <c r="U25" s="251">
        <f>('[1]Modelo AHP'!$U$23*[1]aux!AE76)+('[1]Modelo AHP'!$U$24*[1]aux!AF76)+('[1]Modelo AHP'!$U$25*[1]aux!AG76)+('[1]Modelo AHP'!$U$26*[1]aux!AH76)+('[1]Modelo AHP'!$U$27*[1]aux!AI76)</f>
        <v>9.6987997001704712E-3</v>
      </c>
    </row>
    <row r="26" spans="1:21" ht="17.25" thickTop="1" thickBot="1">
      <c r="A26" s="260">
        <v>23</v>
      </c>
      <c r="B26" s="259" t="s">
        <v>92</v>
      </c>
      <c r="C26" s="258" t="s">
        <v>93</v>
      </c>
      <c r="D26" s="290">
        <v>6.09</v>
      </c>
      <c r="E26" s="291">
        <v>85.1</v>
      </c>
      <c r="F26" s="292">
        <v>61.050198542049429</v>
      </c>
      <c r="G26" s="293">
        <v>24998.38239042617</v>
      </c>
      <c r="H26" s="290">
        <v>10.27</v>
      </c>
      <c r="I26" s="294">
        <v>11.09</v>
      </c>
      <c r="J26" s="295">
        <v>6.0640408047605554</v>
      </c>
      <c r="K26" s="257">
        <v>53707.73</v>
      </c>
      <c r="L26" s="255">
        <v>6.3415453057455828E-2</v>
      </c>
      <c r="M26" s="256">
        <v>1564</v>
      </c>
      <c r="N26" s="255">
        <v>7.0000000000000007E-2</v>
      </c>
      <c r="O26" s="255">
        <v>8.2000000000000003E-2</v>
      </c>
      <c r="P26" s="254">
        <f>('[1]Modelo AHP'!$U$37*[1]aux!P77)+('[1]Modelo AHP'!$U$38*[1]aux!R77)+('[1]Modelo AHP'!$U$39*[1]aux!S77)</f>
        <v>1.0009363951355574E-2</v>
      </c>
      <c r="Q26" s="253">
        <f>[1]aux!U77</f>
        <v>7.6570246488990596E-3</v>
      </c>
      <c r="R26" s="254">
        <f>('[1]Modelo AHP'!$U$47*[1]aux!V77)+('[1]Modelo AHP'!$U$48*[1]aux!W77)+('[1]Modelo AHP'!$U$49*[1]aux!X77)</f>
        <v>1.030638112998683E-2</v>
      </c>
      <c r="S26" s="253">
        <f>[1]aux!Z77</f>
        <v>7.6609607410698926E-3</v>
      </c>
      <c r="T26" s="252">
        <f>('[1]Modelo AHP'!$U$56*[1]aux!AA77)+('[1]Modelo AHP'!$U$57*[1]aux!AB77)+('[1]Modelo AHP'!$U$58*[1]aux!AC77)+('[1]Modelo AHP'!$U$59*[1]aux!AD77)</f>
        <v>1.3769649467065791E-2</v>
      </c>
      <c r="U26" s="251">
        <f>('[1]Modelo AHP'!$U$23*[1]aux!AE77)+('[1]Modelo AHP'!$U$24*[1]aux!AF77)+('[1]Modelo AHP'!$U$25*[1]aux!AG77)+('[1]Modelo AHP'!$U$26*[1]aux!AH77)+('[1]Modelo AHP'!$U$27*[1]aux!AI77)</f>
        <v>9.527499798821391E-3</v>
      </c>
    </row>
    <row r="27" spans="1:21" ht="17.25" thickTop="1" thickBot="1">
      <c r="A27" s="260">
        <v>24</v>
      </c>
      <c r="B27" s="259" t="s">
        <v>137</v>
      </c>
      <c r="C27" s="258" t="s">
        <v>138</v>
      </c>
      <c r="D27" s="290">
        <v>10.88</v>
      </c>
      <c r="E27" s="291">
        <v>85.72</v>
      </c>
      <c r="F27" s="292">
        <v>64.625311297260581</v>
      </c>
      <c r="G27" s="293">
        <v>24577.580752362242</v>
      </c>
      <c r="H27" s="290">
        <v>10.83</v>
      </c>
      <c r="I27" s="294">
        <v>12.19</v>
      </c>
      <c r="J27" s="295">
        <v>5.7942098619650642</v>
      </c>
      <c r="K27" s="257">
        <v>54056.86</v>
      </c>
      <c r="L27" s="255">
        <v>6.2643898695318501E-2</v>
      </c>
      <c r="M27" s="256">
        <v>715</v>
      </c>
      <c r="N27" s="255">
        <v>6.2E-2</v>
      </c>
      <c r="O27" s="255">
        <v>7.0000000000000007E-2</v>
      </c>
      <c r="P27" s="254">
        <f>('[1]Modelo AHP'!$U$37*[1]aux!P119)+('[1]Modelo AHP'!$U$38*[1]aux!R119)+('[1]Modelo AHP'!$U$39*[1]aux!S119)</f>
        <v>1.1669836577222831E-2</v>
      </c>
      <c r="Q27" s="253">
        <f>[1]aux!U119</f>
        <v>7.6576185738270958E-3</v>
      </c>
      <c r="R27" s="254">
        <f>('[1]Modelo AHP'!$U$47*[1]aux!V119)+('[1]Modelo AHP'!$U$48*[1]aux!W119)+('[1]Modelo AHP'!$U$49*[1]aux!X119)</f>
        <v>1.063068040135455E-2</v>
      </c>
      <c r="S27" s="253">
        <f>[1]aux!Z119</f>
        <v>7.6607569685201004E-3</v>
      </c>
      <c r="T27" s="252">
        <f>('[1]Modelo AHP'!$U$56*[1]aux!AA119)+('[1]Modelo AHP'!$U$57*[1]aux!AB119)+('[1]Modelo AHP'!$U$58*[1]aux!AC119)+('[1]Modelo AHP'!$U$59*[1]aux!AD119)</f>
        <v>9.349748942634975E-3</v>
      </c>
      <c r="U27" s="251">
        <f>('[1]Modelo AHP'!$U$23*[1]aux!AE119)+('[1]Modelo AHP'!$U$24*[1]aux!AF119)+('[1]Modelo AHP'!$U$25*[1]aux!AG119)+('[1]Modelo AHP'!$U$26*[1]aux!AH119)+('[1]Modelo AHP'!$U$27*[1]aux!AI119)</f>
        <v>9.5018199874819069E-3</v>
      </c>
    </row>
    <row r="28" spans="1:21" ht="17.25" thickTop="1" thickBot="1">
      <c r="A28" s="260">
        <v>25</v>
      </c>
      <c r="B28" s="259" t="s">
        <v>84</v>
      </c>
      <c r="C28" s="258" t="s">
        <v>86</v>
      </c>
      <c r="D28" s="290">
        <v>16.89</v>
      </c>
      <c r="E28" s="291">
        <v>84.44</v>
      </c>
      <c r="F28" s="292">
        <v>51.406826568265686</v>
      </c>
      <c r="G28" s="293">
        <v>28304.777621117308</v>
      </c>
      <c r="H28" s="290">
        <v>8.36</v>
      </c>
      <c r="I28" s="294">
        <v>10.405000000000001</v>
      </c>
      <c r="J28" s="295">
        <v>5.5691431542133367</v>
      </c>
      <c r="K28" s="257">
        <v>53886.73</v>
      </c>
      <c r="L28" s="255">
        <v>4.7766711161310198E-2</v>
      </c>
      <c r="M28" s="256">
        <v>2027</v>
      </c>
      <c r="N28" s="255">
        <v>5.3999999999999999E-2</v>
      </c>
      <c r="O28" s="255">
        <v>5.7000000000000002E-2</v>
      </c>
      <c r="P28" s="254">
        <f>('[1]Modelo AHP'!$U$37*[1]aux!P71)+('[1]Modelo AHP'!$U$38*[1]aux!R71)+('[1]Modelo AHP'!$U$39*[1]aux!S71)</f>
        <v>1.1517869217341008E-2</v>
      </c>
      <c r="Q28" s="253">
        <f>[1]aux!U71</f>
        <v>7.6523579594857784E-3</v>
      </c>
      <c r="R28" s="254">
        <f>('[1]Modelo AHP'!$U$47*[1]aux!V71)+('[1]Modelo AHP'!$U$48*[1]aux!W71)+('[1]Modelo AHP'!$U$49*[1]aux!X71)</f>
        <v>9.3564679110798681E-3</v>
      </c>
      <c r="S28" s="253">
        <f>[1]aux!Z71</f>
        <v>7.6608562662713563E-3</v>
      </c>
      <c r="T28" s="252">
        <f>('[1]Modelo AHP'!$U$56*[1]aux!AA71)+('[1]Modelo AHP'!$U$57*[1]aux!AB71)+('[1]Modelo AHP'!$U$58*[1]aux!AC71)+('[1]Modelo AHP'!$U$59*[1]aux!AD71)</f>
        <v>1.4144509796954913E-2</v>
      </c>
      <c r="U28" s="251">
        <f>('[1]Modelo AHP'!$U$23*[1]aux!AE71)+('[1]Modelo AHP'!$U$24*[1]aux!AF71)+('[1]Modelo AHP'!$U$25*[1]aux!AG71)+('[1]Modelo AHP'!$U$26*[1]aux!AH71)+('[1]Modelo AHP'!$U$27*[1]aux!AI71)</f>
        <v>9.4882173700672444E-3</v>
      </c>
    </row>
    <row r="29" spans="1:21" ht="17.25" thickTop="1" thickBot="1">
      <c r="A29" s="260">
        <v>26</v>
      </c>
      <c r="B29" s="259" t="s">
        <v>84</v>
      </c>
      <c r="C29" s="258" t="s">
        <v>85</v>
      </c>
      <c r="D29" s="290">
        <v>13.25</v>
      </c>
      <c r="E29" s="291">
        <v>85.41</v>
      </c>
      <c r="F29" s="292">
        <v>48.202426038750758</v>
      </c>
      <c r="G29" s="293">
        <v>32240.757879832585</v>
      </c>
      <c r="H29" s="290">
        <v>9.1300000000000008</v>
      </c>
      <c r="I29" s="294">
        <v>11.34</v>
      </c>
      <c r="J29" s="295">
        <v>5.5691431542133367</v>
      </c>
      <c r="K29" s="257">
        <v>58692.95</v>
      </c>
      <c r="L29" s="255">
        <v>4.7766711161310198E-2</v>
      </c>
      <c r="M29" s="256">
        <v>2027</v>
      </c>
      <c r="N29" s="255">
        <v>5.3999999999999999E-2</v>
      </c>
      <c r="O29" s="255">
        <v>5.7000000000000002E-2</v>
      </c>
      <c r="P29" s="254">
        <f>('[1]Modelo AHP'!$U$37*[1]aux!P70)+('[1]Modelo AHP'!$U$38*[1]aux!R70)+('[1]Modelo AHP'!$U$39*[1]aux!S70)</f>
        <v>1.0194378146331397E-2</v>
      </c>
      <c r="Q29" s="253">
        <f>[1]aux!U70</f>
        <v>7.6468026655409603E-3</v>
      </c>
      <c r="R29" s="254">
        <f>('[1]Modelo AHP'!$U$47*[1]aux!V70)+('[1]Modelo AHP'!$U$48*[1]aux!W70)+('[1]Modelo AHP'!$U$49*[1]aux!X70)</f>
        <v>9.8468528649597528E-3</v>
      </c>
      <c r="S29" s="253">
        <f>[1]aux!Z70</f>
        <v>7.6580510770746027E-3</v>
      </c>
      <c r="T29" s="252">
        <f>('[1]Modelo AHP'!$U$56*[1]aux!AA70)+('[1]Modelo AHP'!$U$57*[1]aux!AB70)+('[1]Modelo AHP'!$U$58*[1]aux!AC70)+('[1]Modelo AHP'!$U$59*[1]aux!AD70)</f>
        <v>1.4144509796954913E-2</v>
      </c>
      <c r="U29" s="251">
        <f>('[1]Modelo AHP'!$U$23*[1]aux!AE70)+('[1]Modelo AHP'!$U$24*[1]aux!AF70)+('[1]Modelo AHP'!$U$25*[1]aux!AG70)+('[1]Modelo AHP'!$U$26*[1]aux!AH70)+('[1]Modelo AHP'!$U$27*[1]aux!AI70)</f>
        <v>9.4329207252862243E-3</v>
      </c>
    </row>
    <row r="30" spans="1:21" ht="17.25" thickTop="1" thickBot="1">
      <c r="A30" s="260">
        <v>27</v>
      </c>
      <c r="B30" s="259" t="s">
        <v>139</v>
      </c>
      <c r="C30" s="258" t="s">
        <v>141</v>
      </c>
      <c r="D30" s="290">
        <v>9.3699999999999992</v>
      </c>
      <c r="E30" s="291">
        <v>83.14</v>
      </c>
      <c r="F30" s="292">
        <v>63.775721585416377</v>
      </c>
      <c r="G30" s="293">
        <v>24038.535971865767</v>
      </c>
      <c r="H30" s="290">
        <v>11.65</v>
      </c>
      <c r="I30" s="294">
        <v>14.07</v>
      </c>
      <c r="J30" s="295">
        <v>4.4781942315730809</v>
      </c>
      <c r="K30" s="257">
        <v>62989.93</v>
      </c>
      <c r="L30" s="255">
        <v>4.7936085219707054E-2</v>
      </c>
      <c r="M30" s="256">
        <v>826</v>
      </c>
      <c r="N30" s="255">
        <v>6.3E-2</v>
      </c>
      <c r="O30" s="255">
        <v>6.9000000000000006E-2</v>
      </c>
      <c r="P30" s="254">
        <f>('[1]Modelo AHP'!$U$37*[1]aux!P124)+('[1]Modelo AHP'!$U$38*[1]aux!R124)+('[1]Modelo AHP'!$U$39*[1]aux!S124)</f>
        <v>1.1181584969966575E-2</v>
      </c>
      <c r="Q30" s="253">
        <f>[1]aux!U124</f>
        <v>7.6583793886707283E-3</v>
      </c>
      <c r="R30" s="254">
        <f>('[1]Modelo AHP'!$U$47*[1]aux!V124)+('[1]Modelo AHP'!$U$48*[1]aux!W124)+('[1]Modelo AHP'!$U$49*[1]aux!X124)</f>
        <v>1.0556139677062079E-2</v>
      </c>
      <c r="S30" s="253">
        <f>[1]aux!Z124</f>
        <v>7.6555431099248131E-3</v>
      </c>
      <c r="T30" s="252">
        <f>('[1]Modelo AHP'!$U$56*[1]aux!AA124)+('[1]Modelo AHP'!$U$57*[1]aux!AB124)+('[1]Modelo AHP'!$U$58*[1]aux!AC124)+('[1]Modelo AHP'!$U$59*[1]aux!AD124)</f>
        <v>9.3708301711294059E-3</v>
      </c>
      <c r="U30" s="251">
        <f>('[1]Modelo AHP'!$U$23*[1]aux!AE124)+('[1]Modelo AHP'!$U$24*[1]aux!AF124)+('[1]Modelo AHP'!$U$25*[1]aux!AG124)+('[1]Modelo AHP'!$U$26*[1]aux!AH124)+('[1]Modelo AHP'!$U$27*[1]aux!AI124)</f>
        <v>9.3966928813360509E-3</v>
      </c>
    </row>
    <row r="31" spans="1:21" ht="17.25" thickTop="1" thickBot="1">
      <c r="A31" s="260">
        <v>28</v>
      </c>
      <c r="B31" s="259" t="s">
        <v>78</v>
      </c>
      <c r="C31" s="258" t="s">
        <v>322</v>
      </c>
      <c r="D31" s="290">
        <v>10.78</v>
      </c>
      <c r="E31" s="291">
        <v>84.25</v>
      </c>
      <c r="F31" s="292">
        <v>50.479110770410117</v>
      </c>
      <c r="G31" s="293">
        <v>25530.027172177135</v>
      </c>
      <c r="H31" s="290">
        <v>10.85</v>
      </c>
      <c r="I31" s="294">
        <v>12.364999999999998</v>
      </c>
      <c r="J31" s="295">
        <v>4.8734745628400864</v>
      </c>
      <c r="K31" s="257">
        <v>63908.07</v>
      </c>
      <c r="L31" s="255">
        <v>4.0725744972809973E-2</v>
      </c>
      <c r="M31" s="256">
        <v>1275</v>
      </c>
      <c r="N31" s="255">
        <v>4.5999999999999999E-2</v>
      </c>
      <c r="O31" s="255">
        <v>5.0999999999999997E-2</v>
      </c>
      <c r="P31" s="254">
        <f>('[1]Modelo AHP'!$U$37*[1]aux!P63)+('[1]Modelo AHP'!$U$38*[1]aux!R63)+('[1]Modelo AHP'!$U$39*[1]aux!S63)</f>
        <v>9.8584597770913079E-3</v>
      </c>
      <c r="Q31" s="253">
        <f>[1]aux!U63</f>
        <v>7.6562742785103079E-3</v>
      </c>
      <c r="R31" s="254">
        <f>('[1]Modelo AHP'!$U$47*[1]aux!V63)+('[1]Modelo AHP'!$U$48*[1]aux!W63)+('[1]Modelo AHP'!$U$49*[1]aux!X63)</f>
        <v>1.0049414989048924E-2</v>
      </c>
      <c r="S31" s="253">
        <f>[1]aux!Z63</f>
        <v>7.6550072300838766E-3</v>
      </c>
      <c r="T31" s="252">
        <f>('[1]Modelo AHP'!$U$56*[1]aux!AA63)+('[1]Modelo AHP'!$U$57*[1]aux!AB63)+('[1]Modelo AHP'!$U$58*[1]aux!AC63)+('[1]Modelo AHP'!$U$59*[1]aux!AD63)</f>
        <v>1.0069312852671299E-2</v>
      </c>
      <c r="U31" s="251">
        <f>('[1]Modelo AHP'!$U$23*[1]aux!AE63)+('[1]Modelo AHP'!$U$24*[1]aux!AF63)+('[1]Modelo AHP'!$U$25*[1]aux!AG63)+('[1]Modelo AHP'!$U$26*[1]aux!AH63)+('[1]Modelo AHP'!$U$27*[1]aux!AI63)</f>
        <v>9.0673939717146271E-3</v>
      </c>
    </row>
    <row r="32" spans="1:21" ht="17.25" thickTop="1" thickBot="1">
      <c r="A32" s="260">
        <v>29</v>
      </c>
      <c r="B32" s="259" t="s">
        <v>129</v>
      </c>
      <c r="C32" s="258" t="s">
        <v>131</v>
      </c>
      <c r="D32" s="290">
        <v>9.68</v>
      </c>
      <c r="E32" s="291">
        <v>82.43</v>
      </c>
      <c r="F32" s="292">
        <v>46.064942212438083</v>
      </c>
      <c r="G32" s="293">
        <v>30468.900348241252</v>
      </c>
      <c r="H32" s="290">
        <v>8.1300000000000008</v>
      </c>
      <c r="I32" s="294">
        <v>8.870000000000001</v>
      </c>
      <c r="J32" s="295">
        <v>6.8197536308873499</v>
      </c>
      <c r="K32" s="257">
        <v>62585.86</v>
      </c>
      <c r="L32" s="255">
        <v>5.0019297568506371E-2</v>
      </c>
      <c r="M32" s="256">
        <v>1625</v>
      </c>
      <c r="N32" s="255">
        <v>6.4000000000000001E-2</v>
      </c>
      <c r="O32" s="255">
        <v>7.1999999999999995E-2</v>
      </c>
      <c r="P32" s="254">
        <f>('[1]Modelo AHP'!$U$37*[1]aux!P113)+('[1]Modelo AHP'!$U$38*[1]aux!R113)+('[1]Modelo AHP'!$U$39*[1]aux!S113)</f>
        <v>9.0235490337736528E-3</v>
      </c>
      <c r="Q32" s="253">
        <f>[1]aux!U113</f>
        <v>7.6493034884032021E-3</v>
      </c>
      <c r="R32" s="254">
        <f>('[1]Modelo AHP'!$U$47*[1]aux!V113)+('[1]Modelo AHP'!$U$48*[1]aux!W113)+('[1]Modelo AHP'!$U$49*[1]aux!X113)</f>
        <v>9.620451422333174E-3</v>
      </c>
      <c r="S32" s="253">
        <f>[1]aux!Z113</f>
        <v>7.6557789486502003E-3</v>
      </c>
      <c r="T32" s="252">
        <f>('[1]Modelo AHP'!$U$56*[1]aux!AA113)+('[1]Modelo AHP'!$U$57*[1]aux!AB113)+('[1]Modelo AHP'!$U$58*[1]aux!AC113)+('[1]Modelo AHP'!$U$59*[1]aux!AD113)</f>
        <v>1.3135695939551337E-2</v>
      </c>
      <c r="U32" s="251">
        <f>('[1]Modelo AHP'!$U$23*[1]aux!AE113)+('[1]Modelo AHP'!$U$24*[1]aux!AF113)+('[1]Modelo AHP'!$U$25*[1]aux!AG113)+('[1]Modelo AHP'!$U$26*[1]aux!AH113)+('[1]Modelo AHP'!$U$27*[1]aux!AI113)</f>
        <v>9.066351976813514E-3</v>
      </c>
    </row>
    <row r="33" spans="1:21" ht="17.25" thickTop="1" thickBot="1">
      <c r="A33" s="260">
        <v>30</v>
      </c>
      <c r="B33" s="259" t="s">
        <v>78</v>
      </c>
      <c r="C33" s="258" t="s">
        <v>323</v>
      </c>
      <c r="D33" s="290">
        <v>14.9</v>
      </c>
      <c r="E33" s="291">
        <v>84.36</v>
      </c>
      <c r="F33" s="292">
        <v>47.263069443610824</v>
      </c>
      <c r="G33" s="293">
        <v>28421.211145755147</v>
      </c>
      <c r="H33" s="290">
        <v>9.26</v>
      </c>
      <c r="I33" s="294">
        <v>11.715</v>
      </c>
      <c r="J33" s="295">
        <v>4.8734745628400864</v>
      </c>
      <c r="K33" s="257">
        <v>69433.490000000005</v>
      </c>
      <c r="L33" s="255">
        <v>4.0725744972809973E-2</v>
      </c>
      <c r="M33" s="256">
        <v>1275</v>
      </c>
      <c r="N33" s="255">
        <v>4.5999999999999999E-2</v>
      </c>
      <c r="O33" s="255">
        <v>5.0999999999999997E-2</v>
      </c>
      <c r="P33" s="254">
        <f>('[1]Modelo AHP'!$U$37*[1]aux!P64)+('[1]Modelo AHP'!$U$38*[1]aux!R64)+('[1]Modelo AHP'!$U$39*[1]aux!S64)</f>
        <v>1.0492329904250173E-2</v>
      </c>
      <c r="Q33" s="253">
        <f>[1]aux!U64</f>
        <v>7.6521936236883716E-3</v>
      </c>
      <c r="R33" s="254">
        <f>('[1]Modelo AHP'!$U$47*[1]aux!V64)+('[1]Modelo AHP'!$U$48*[1]aux!W64)+('[1]Modelo AHP'!$U$49*[1]aux!X64)</f>
        <v>9.5197870416026485E-3</v>
      </c>
      <c r="S33" s="253">
        <f>[1]aux!Z64</f>
        <v>7.6517822739870841E-3</v>
      </c>
      <c r="T33" s="252">
        <f>('[1]Modelo AHP'!$U$56*[1]aux!AA64)+('[1]Modelo AHP'!$U$57*[1]aux!AB64)+('[1]Modelo AHP'!$U$58*[1]aux!AC64)+('[1]Modelo AHP'!$U$59*[1]aux!AD64)</f>
        <v>1.0069312852671299E-2</v>
      </c>
      <c r="U33" s="251">
        <f>('[1]Modelo AHP'!$U$23*[1]aux!AE64)+('[1]Modelo AHP'!$U$24*[1]aux!AF64)+('[1]Modelo AHP'!$U$25*[1]aux!AG64)+('[1]Modelo AHP'!$U$26*[1]aux!AH64)+('[1]Modelo AHP'!$U$27*[1]aux!AI64)</f>
        <v>8.9906310054275948E-3</v>
      </c>
    </row>
    <row r="34" spans="1:21" ht="17.25" thickTop="1" thickBot="1">
      <c r="A34" s="260">
        <v>31</v>
      </c>
      <c r="B34" s="259" t="s">
        <v>78</v>
      </c>
      <c r="C34" s="258" t="s">
        <v>79</v>
      </c>
      <c r="D34" s="290">
        <v>13.26</v>
      </c>
      <c r="E34" s="291">
        <v>85.52</v>
      </c>
      <c r="F34" s="292">
        <v>49.731249777524653</v>
      </c>
      <c r="G34" s="293">
        <v>30371.402269660004</v>
      </c>
      <c r="H34" s="290">
        <v>8.67</v>
      </c>
      <c r="I34" s="294">
        <v>10.265000000000001</v>
      </c>
      <c r="J34" s="295">
        <v>4.8734745628400864</v>
      </c>
      <c r="K34" s="257">
        <v>63106.83</v>
      </c>
      <c r="L34" s="255">
        <v>4.0725744972809973E-2</v>
      </c>
      <c r="M34" s="256">
        <v>1275</v>
      </c>
      <c r="N34" s="255">
        <v>4.5999999999999999E-2</v>
      </c>
      <c r="O34" s="255">
        <v>5.0999999999999997E-2</v>
      </c>
      <c r="P34" s="254">
        <f>('[1]Modelo AHP'!$U$37*[1]aux!P65)+('[1]Modelo AHP'!$U$38*[1]aux!R65)+('[1]Modelo AHP'!$U$39*[1]aux!S65)</f>
        <v>1.0389938853253167E-2</v>
      </c>
      <c r="Q34" s="253">
        <f>[1]aux!U65</f>
        <v>7.6494410984647302E-3</v>
      </c>
      <c r="R34" s="254">
        <f>('[1]Modelo AHP'!$U$47*[1]aux!V65)+('[1]Modelo AHP'!$U$48*[1]aux!W65)+('[1]Modelo AHP'!$U$49*[1]aux!X65)</f>
        <v>8.8673918327174788E-3</v>
      </c>
      <c r="S34" s="253">
        <f>[1]aux!Z65</f>
        <v>7.6554748802938142E-3</v>
      </c>
      <c r="T34" s="252">
        <f>('[1]Modelo AHP'!$U$56*[1]aux!AA65)+('[1]Modelo AHP'!$U$57*[1]aux!AB65)+('[1]Modelo AHP'!$U$58*[1]aux!AC65)+('[1]Modelo AHP'!$U$59*[1]aux!AD65)</f>
        <v>1.0069312852671299E-2</v>
      </c>
      <c r="U34" s="251">
        <f>('[1]Modelo AHP'!$U$23*[1]aux!AE65)+('[1]Modelo AHP'!$U$24*[1]aux!AF65)+('[1]Modelo AHP'!$U$25*[1]aux!AG65)+('[1]Modelo AHP'!$U$26*[1]aux!AH65)+('[1]Modelo AHP'!$U$27*[1]aux!AI65)</f>
        <v>8.7499927455263332E-3</v>
      </c>
    </row>
    <row r="35" spans="1:21" ht="17.25" thickTop="1" thickBot="1">
      <c r="A35" s="260">
        <v>32</v>
      </c>
      <c r="B35" s="259" t="s">
        <v>84</v>
      </c>
      <c r="C35" s="258" t="s">
        <v>90</v>
      </c>
      <c r="D35" s="290">
        <v>8.99</v>
      </c>
      <c r="E35" s="291">
        <v>85.2</v>
      </c>
      <c r="F35" s="292">
        <v>44.598636200502455</v>
      </c>
      <c r="G35" s="293">
        <v>31740.53870539305</v>
      </c>
      <c r="H35" s="290">
        <v>7.74</v>
      </c>
      <c r="I35" s="294">
        <v>8.5850000000000009</v>
      </c>
      <c r="J35" s="295">
        <v>5.5691431542133367</v>
      </c>
      <c r="K35" s="257">
        <v>53616.32</v>
      </c>
      <c r="L35" s="255">
        <v>4.7766711161310198E-2</v>
      </c>
      <c r="M35" s="256">
        <v>2027</v>
      </c>
      <c r="N35" s="255">
        <v>5.3999999999999999E-2</v>
      </c>
      <c r="O35" s="255">
        <v>5.7000000000000002E-2</v>
      </c>
      <c r="P35" s="254">
        <f>('[1]Modelo AHP'!$U$37*[1]aux!P75)+('[1]Modelo AHP'!$U$38*[1]aux!R75)+('[1]Modelo AHP'!$U$39*[1]aux!S75)</f>
        <v>8.6640381771602003E-3</v>
      </c>
      <c r="Q35" s="253">
        <f>[1]aux!U75</f>
        <v>7.6475086814171049E-3</v>
      </c>
      <c r="R35" s="254">
        <f>('[1]Modelo AHP'!$U$47*[1]aux!V75)+('[1]Modelo AHP'!$U$48*[1]aux!W75)+('[1]Modelo AHP'!$U$49*[1]aux!X75)</f>
        <v>8.5591697731622965E-3</v>
      </c>
      <c r="S35" s="253">
        <f>[1]aux!Z75</f>
        <v>7.6610140932561171E-3</v>
      </c>
      <c r="T35" s="252">
        <f>('[1]Modelo AHP'!$U$56*[1]aux!AA75)+('[1]Modelo AHP'!$U$57*[1]aux!AB75)+('[1]Modelo AHP'!$U$58*[1]aux!AC75)+('[1]Modelo AHP'!$U$59*[1]aux!AD75)</f>
        <v>1.4144509796954913E-2</v>
      </c>
      <c r="U35" s="251">
        <f>('[1]Modelo AHP'!$U$23*[1]aux!AE75)+('[1]Modelo AHP'!$U$24*[1]aux!AF75)+('[1]Modelo AHP'!$U$25*[1]aux!AG75)+('[1]Modelo AHP'!$U$26*[1]aux!AH75)+('[1]Modelo AHP'!$U$27*[1]aux!AI75)</f>
        <v>8.7379460353691971E-3</v>
      </c>
    </row>
    <row r="36" spans="1:21" ht="17.25" thickTop="1" thickBot="1">
      <c r="A36" s="260">
        <v>33</v>
      </c>
      <c r="B36" s="259" t="s">
        <v>48</v>
      </c>
      <c r="C36" s="258" t="s">
        <v>52</v>
      </c>
      <c r="D36" s="290">
        <v>11.11</v>
      </c>
      <c r="E36" s="291">
        <v>83.88</v>
      </c>
      <c r="F36" s="292">
        <v>46.91261703076237</v>
      </c>
      <c r="G36" s="293">
        <v>29675.215769875176</v>
      </c>
      <c r="H36" s="290">
        <v>10.63</v>
      </c>
      <c r="I36" s="294">
        <v>13.984999999999999</v>
      </c>
      <c r="J36" s="295">
        <v>3.9123004763116751</v>
      </c>
      <c r="K36" s="257">
        <v>81848.03</v>
      </c>
      <c r="L36" s="255">
        <v>2.6796828932713096E-2</v>
      </c>
      <c r="M36" s="256">
        <v>900</v>
      </c>
      <c r="N36" s="255">
        <v>3.6999999999999998E-2</v>
      </c>
      <c r="O36" s="255">
        <v>4.5993579243923215E-2</v>
      </c>
      <c r="P36" s="254">
        <f>('[1]Modelo AHP'!$U$37*[1]aux!P39)+('[1]Modelo AHP'!$U$38*[1]aux!R39)+('[1]Modelo AHP'!$U$39*[1]aux!S39)</f>
        <v>9.491443529923007E-3</v>
      </c>
      <c r="Q36" s="253">
        <f>[1]aux!U39</f>
        <v>7.6504237051833882E-3</v>
      </c>
      <c r="R36" s="254">
        <f>('[1]Modelo AHP'!$U$47*[1]aux!V39)+('[1]Modelo AHP'!$U$48*[1]aux!W39)+('[1]Modelo AHP'!$U$49*[1]aux!X39)</f>
        <v>9.9415622280718888E-3</v>
      </c>
      <c r="S36" s="253">
        <f>[1]aux!Z39</f>
        <v>7.6445364272529244E-3</v>
      </c>
      <c r="T36" s="252">
        <f>('[1]Modelo AHP'!$U$56*[1]aux!AA39)+('[1]Modelo AHP'!$U$57*[1]aux!AB39)+('[1]Modelo AHP'!$U$58*[1]aux!AC39)+('[1]Modelo AHP'!$U$59*[1]aux!AD39)</f>
        <v>7.4332302313602303E-3</v>
      </c>
      <c r="U36" s="251">
        <f>('[1]Modelo AHP'!$U$23*[1]aux!AE39)+('[1]Modelo AHP'!$U$24*[1]aux!AF39)+('[1]Modelo AHP'!$U$25*[1]aux!AG39)+('[1]Modelo AHP'!$U$26*[1]aux!AH39)+('[1]Modelo AHP'!$U$27*[1]aux!AI39)</f>
        <v>8.7198273549745058E-3</v>
      </c>
    </row>
    <row r="37" spans="1:21" ht="17.25" thickTop="1" thickBot="1">
      <c r="A37" s="260">
        <v>34</v>
      </c>
      <c r="B37" s="259" t="s">
        <v>106</v>
      </c>
      <c r="C37" s="258" t="s">
        <v>111</v>
      </c>
      <c r="D37" s="290">
        <v>9.85</v>
      </c>
      <c r="E37" s="291">
        <v>83.91</v>
      </c>
      <c r="F37" s="292">
        <v>51.785189538642378</v>
      </c>
      <c r="G37" s="293">
        <v>28449.326811473707</v>
      </c>
      <c r="H37" s="290">
        <v>9.43</v>
      </c>
      <c r="I37" s="294">
        <v>11.895</v>
      </c>
      <c r="J37" s="295">
        <v>5.0234978180597514</v>
      </c>
      <c r="K37" s="261">
        <v>72051.61</v>
      </c>
      <c r="L37" s="255">
        <v>4.1506065646934716E-2</v>
      </c>
      <c r="M37" s="256">
        <v>526</v>
      </c>
      <c r="N37" s="255">
        <v>4.2999999999999997E-2</v>
      </c>
      <c r="O37" s="255">
        <v>5.3999999999999999E-2</v>
      </c>
      <c r="P37" s="254">
        <f>('[1]Modelo AHP'!$U$37*[1]aux!P94)+('[1]Modelo AHP'!$U$38*[1]aux!R94)+('[1]Modelo AHP'!$U$39*[1]aux!S94)</f>
        <v>9.7886518095066759E-3</v>
      </c>
      <c r="Q37" s="253">
        <f>[1]aux!U94</f>
        <v>7.6521539408705586E-3</v>
      </c>
      <c r="R37" s="254">
        <f>('[1]Modelo AHP'!$U$47*[1]aux!V94)+('[1]Modelo AHP'!$U$48*[1]aux!W94)+('[1]Modelo AHP'!$U$49*[1]aux!X94)</f>
        <v>9.7241340247835595E-3</v>
      </c>
      <c r="S37" s="253">
        <f>[1]aux!Z94</f>
        <v>7.6502541870622654E-3</v>
      </c>
      <c r="T37" s="252">
        <f>('[1]Modelo AHP'!$U$56*[1]aux!AA94)+('[1]Modelo AHP'!$U$57*[1]aux!AB94)+('[1]Modelo AHP'!$U$58*[1]aux!AC94)+('[1]Modelo AHP'!$U$59*[1]aux!AD94)</f>
        <v>6.6644198812041569E-3</v>
      </c>
      <c r="U37" s="251">
        <f>('[1]Modelo AHP'!$U$23*[1]aux!AE94)+('[1]Modelo AHP'!$U$24*[1]aux!AF94)+('[1]Modelo AHP'!$U$25*[1]aux!AG94)+('[1]Modelo AHP'!$U$26*[1]aux!AH94)+('[1]Modelo AHP'!$U$27*[1]aux!AI94)</f>
        <v>8.624139003985341E-3</v>
      </c>
    </row>
    <row r="38" spans="1:21" ht="17.25" thickTop="1" thickBot="1">
      <c r="A38" s="260">
        <v>35</v>
      </c>
      <c r="B38" s="259" t="s">
        <v>78</v>
      </c>
      <c r="C38" s="258" t="s">
        <v>80</v>
      </c>
      <c r="D38" s="290">
        <v>11.43</v>
      </c>
      <c r="E38" s="291">
        <v>85.66</v>
      </c>
      <c r="F38" s="292">
        <v>50.651983853866327</v>
      </c>
      <c r="G38" s="293">
        <v>31245.090557358908</v>
      </c>
      <c r="H38" s="290">
        <v>8.1300000000000008</v>
      </c>
      <c r="I38" s="294">
        <v>9.8849999999999998</v>
      </c>
      <c r="J38" s="295">
        <v>4.8734745628400864</v>
      </c>
      <c r="K38" s="257">
        <v>59139.41</v>
      </c>
      <c r="L38" s="255">
        <v>4.0725744972809973E-2</v>
      </c>
      <c r="M38" s="256">
        <v>1275</v>
      </c>
      <c r="N38" s="255">
        <v>4.5999999999999999E-2</v>
      </c>
      <c r="O38" s="255">
        <v>5.0999999999999997E-2</v>
      </c>
      <c r="P38" s="254">
        <f>('[1]Modelo AHP'!$U$37*[1]aux!P66)+('[1]Modelo AHP'!$U$38*[1]aux!R66)+('[1]Modelo AHP'!$U$39*[1]aux!S66)</f>
        <v>1.0044263190280315E-2</v>
      </c>
      <c r="Q38" s="253">
        <f>[1]aux!U66</f>
        <v>7.6482079634042676E-3</v>
      </c>
      <c r="R38" s="254">
        <f>('[1]Modelo AHP'!$U$47*[1]aux!V66)+('[1]Modelo AHP'!$U$48*[1]aux!W66)+('[1]Modelo AHP'!$U$49*[1]aux!X66)</f>
        <v>8.6274633395214823E-3</v>
      </c>
      <c r="S38" s="253">
        <f>[1]aux!Z66</f>
        <v>7.65779049708268E-3</v>
      </c>
      <c r="T38" s="252">
        <f>('[1]Modelo AHP'!$U$56*[1]aux!AA66)+('[1]Modelo AHP'!$U$57*[1]aux!AB66)+('[1]Modelo AHP'!$U$58*[1]aux!AC66)+('[1]Modelo AHP'!$U$59*[1]aux!AD66)</f>
        <v>1.0069312852671299E-2</v>
      </c>
      <c r="U38" s="251">
        <f>('[1]Modelo AHP'!$U$23*[1]aux!AE66)+('[1]Modelo AHP'!$U$24*[1]aux!AF66)+('[1]Modelo AHP'!$U$25*[1]aux!AG66)+('[1]Modelo AHP'!$U$26*[1]aux!AH66)+('[1]Modelo AHP'!$U$27*[1]aux!AI66)</f>
        <v>8.6100911326693411E-3</v>
      </c>
    </row>
    <row r="39" spans="1:21" ht="17.25" thickTop="1" thickBot="1">
      <c r="A39" s="260">
        <v>36</v>
      </c>
      <c r="B39" s="259" t="s">
        <v>139</v>
      </c>
      <c r="C39" s="258" t="s">
        <v>143</v>
      </c>
      <c r="D39" s="290">
        <v>6.82</v>
      </c>
      <c r="E39" s="291">
        <v>83.27</v>
      </c>
      <c r="F39" s="292">
        <v>55.809703145768722</v>
      </c>
      <c r="G39" s="293">
        <v>28800.948012344434</v>
      </c>
      <c r="H39" s="290">
        <v>9.49</v>
      </c>
      <c r="I39" s="294">
        <v>11.08</v>
      </c>
      <c r="J39" s="295">
        <v>4.4781942315730809</v>
      </c>
      <c r="K39" s="257">
        <v>73432.17</v>
      </c>
      <c r="L39" s="255">
        <v>4.7936085219707054E-2</v>
      </c>
      <c r="M39" s="256">
        <v>826</v>
      </c>
      <c r="N39" s="255">
        <v>6.3E-2</v>
      </c>
      <c r="O39" s="255">
        <v>6.9000000000000006E-2</v>
      </c>
      <c r="P39" s="254">
        <f>('[1]Modelo AHP'!$U$37*[1]aux!P126)+('[1]Modelo AHP'!$U$38*[1]aux!R126)+('[1]Modelo AHP'!$U$39*[1]aux!S126)</f>
        <v>9.5320406487108874E-3</v>
      </c>
      <c r="Q39" s="253">
        <f>[1]aux!U126</f>
        <v>7.6516576581151397E-3</v>
      </c>
      <c r="R39" s="254">
        <f>('[1]Modelo AHP'!$U$47*[1]aux!V126)+('[1]Modelo AHP'!$U$48*[1]aux!W126)+('[1]Modelo AHP'!$U$49*[1]aux!X126)</f>
        <v>9.0420568161890449E-3</v>
      </c>
      <c r="S39" s="253">
        <f>[1]aux!Z126</f>
        <v>7.6494484120462518E-3</v>
      </c>
      <c r="T39" s="252">
        <f>('[1]Modelo AHP'!$U$56*[1]aux!AA126)+('[1]Modelo AHP'!$U$57*[1]aux!AB126)+('[1]Modelo AHP'!$U$58*[1]aux!AC126)+('[1]Modelo AHP'!$U$59*[1]aux!AD126)</f>
        <v>9.3708301711294059E-3</v>
      </c>
      <c r="U39" s="251">
        <f>('[1]Modelo AHP'!$U$23*[1]aux!AE126)+('[1]Modelo AHP'!$U$24*[1]aux!AF126)+('[1]Modelo AHP'!$U$25*[1]aux!AG126)+('[1]Modelo AHP'!$U$26*[1]aux!AH126)+('[1]Modelo AHP'!$U$27*[1]aux!AI126)</f>
        <v>8.6013811209511726E-3</v>
      </c>
    </row>
    <row r="40" spans="1:21" ht="17.25" thickTop="1" thickBot="1">
      <c r="A40" s="260">
        <v>37</v>
      </c>
      <c r="B40" s="259" t="s">
        <v>134</v>
      </c>
      <c r="C40" s="258" t="s">
        <v>136</v>
      </c>
      <c r="D40" s="290">
        <v>3.71</v>
      </c>
      <c r="E40" s="291">
        <v>84.46</v>
      </c>
      <c r="F40" s="292">
        <v>44.427058884890208</v>
      </c>
      <c r="G40" s="293">
        <v>36865.024145685726</v>
      </c>
      <c r="H40" s="290">
        <v>8.99</v>
      </c>
      <c r="I40" s="294">
        <v>10.44</v>
      </c>
      <c r="J40" s="295">
        <v>5.9143306261461879</v>
      </c>
      <c r="K40" s="257">
        <v>57905.06</v>
      </c>
      <c r="L40" s="255">
        <v>4.665167234999637E-2</v>
      </c>
      <c r="M40" s="256">
        <v>1388</v>
      </c>
      <c r="N40" s="255">
        <v>3.6999999999999998E-2</v>
      </c>
      <c r="O40" s="255">
        <v>5.2999999999999999E-2</v>
      </c>
      <c r="P40" s="254">
        <f>('[1]Modelo AHP'!$U$37*[1]aux!P117)+('[1]Modelo AHP'!$U$38*[1]aux!R117)+('[1]Modelo AHP'!$U$39*[1]aux!S117)</f>
        <v>7.309651969869377E-3</v>
      </c>
      <c r="Q40" s="253">
        <f>[1]aux!U117</f>
        <v>7.6402759157359942E-3</v>
      </c>
      <c r="R40" s="254">
        <f>('[1]Modelo AHP'!$U$47*[1]aux!V117)+('[1]Modelo AHP'!$U$48*[1]aux!W117)+('[1]Modelo AHP'!$U$49*[1]aux!X117)</f>
        <v>9.7263958529935392E-3</v>
      </c>
      <c r="S40" s="253">
        <f>[1]aux!Z117</f>
        <v>7.6585109354490076E-3</v>
      </c>
      <c r="T40" s="252">
        <f>('[1]Modelo AHP'!$U$56*[1]aux!AA117)+('[1]Modelo AHP'!$U$57*[1]aux!AB117)+('[1]Modelo AHP'!$U$58*[1]aux!AC117)+('[1]Modelo AHP'!$U$59*[1]aux!AD117)</f>
        <v>1.0442936896404364E-2</v>
      </c>
      <c r="U40" s="251">
        <f>('[1]Modelo AHP'!$U$23*[1]aux!AE117)+('[1]Modelo AHP'!$U$24*[1]aux!AF117)+('[1]Modelo AHP'!$U$25*[1]aux!AG117)+('[1]Modelo AHP'!$U$26*[1]aux!AH117)+('[1]Modelo AHP'!$U$27*[1]aux!AI117)</f>
        <v>8.5617325013546183E-3</v>
      </c>
    </row>
    <row r="41" spans="1:21" ht="17.25" thickTop="1" thickBot="1">
      <c r="A41" s="260">
        <v>38</v>
      </c>
      <c r="B41" s="259" t="s">
        <v>139</v>
      </c>
      <c r="C41" s="258" t="s">
        <v>140</v>
      </c>
      <c r="D41" s="290">
        <v>11.67</v>
      </c>
      <c r="E41" s="291">
        <v>83.04</v>
      </c>
      <c r="F41" s="292">
        <v>47.572953064500901</v>
      </c>
      <c r="G41" s="293">
        <v>22504.157388643031</v>
      </c>
      <c r="H41" s="290">
        <v>8.44</v>
      </c>
      <c r="I41" s="294">
        <v>10.574999999999999</v>
      </c>
      <c r="J41" s="295">
        <v>4.4781942315730809</v>
      </c>
      <c r="K41" s="257">
        <v>67328.100000000006</v>
      </c>
      <c r="L41" s="255">
        <v>4.7936085219707054E-2</v>
      </c>
      <c r="M41" s="256">
        <v>826</v>
      </c>
      <c r="N41" s="255">
        <v>6.3E-2</v>
      </c>
      <c r="O41" s="255">
        <v>6.9000000000000006E-2</v>
      </c>
      <c r="P41" s="254">
        <f>('[1]Modelo AHP'!$U$37*[1]aux!P123)+('[1]Modelo AHP'!$U$38*[1]aux!R123)+('[1]Modelo AHP'!$U$39*[1]aux!S123)</f>
        <v>9.7162367511755676E-3</v>
      </c>
      <c r="Q41" s="253">
        <f>[1]aux!U123</f>
        <v>7.660545030643541E-3</v>
      </c>
      <c r="R41" s="254">
        <f>('[1]Modelo AHP'!$U$47*[1]aux!V123)+('[1]Modelo AHP'!$U$48*[1]aux!W123)+('[1]Modelo AHP'!$U$49*[1]aux!X123)</f>
        <v>8.6637337641830309E-3</v>
      </c>
      <c r="S41" s="253">
        <f>[1]aux!Z123</f>
        <v>7.6530111018981986E-3</v>
      </c>
      <c r="T41" s="252">
        <f>('[1]Modelo AHP'!$U$56*[1]aux!AA123)+('[1]Modelo AHP'!$U$57*[1]aux!AB123)+('[1]Modelo AHP'!$U$58*[1]aux!AC123)+('[1]Modelo AHP'!$U$59*[1]aux!AD123)</f>
        <v>9.3708301711294059E-3</v>
      </c>
      <c r="U41" s="251">
        <f>('[1]Modelo AHP'!$U$23*[1]aux!AE123)+('[1]Modelo AHP'!$U$24*[1]aux!AF123)+('[1]Modelo AHP'!$U$25*[1]aux!AG123)+('[1]Modelo AHP'!$U$26*[1]aux!AH123)+('[1]Modelo AHP'!$U$27*[1]aux!AI123)</f>
        <v>8.5059729373153301E-3</v>
      </c>
    </row>
    <row r="42" spans="1:21" ht="17.25" thickTop="1" thickBot="1">
      <c r="A42" s="260">
        <v>39</v>
      </c>
      <c r="B42" s="259" t="s">
        <v>139</v>
      </c>
      <c r="C42" s="258" t="s">
        <v>146</v>
      </c>
      <c r="D42" s="290">
        <v>9.48</v>
      </c>
      <c r="E42" s="291">
        <v>84.5</v>
      </c>
      <c r="F42" s="292">
        <v>53.166577967003725</v>
      </c>
      <c r="G42" s="293">
        <v>31834.133591988113</v>
      </c>
      <c r="H42" s="290">
        <v>8.24</v>
      </c>
      <c r="I42" s="294">
        <v>10.395</v>
      </c>
      <c r="J42" s="295">
        <v>4.4781942315730809</v>
      </c>
      <c r="K42" s="257">
        <v>62681.94</v>
      </c>
      <c r="L42" s="255">
        <v>4.7936085219707054E-2</v>
      </c>
      <c r="M42" s="256">
        <v>826</v>
      </c>
      <c r="N42" s="255">
        <v>6.3E-2</v>
      </c>
      <c r="O42" s="255">
        <v>6.9000000000000006E-2</v>
      </c>
      <c r="P42" s="254">
        <f>('[1]Modelo AHP'!$U$37*[1]aux!P129)+('[1]Modelo AHP'!$U$38*[1]aux!R129)+('[1]Modelo AHP'!$U$39*[1]aux!S129)</f>
        <v>9.8696434576356525E-3</v>
      </c>
      <c r="Q42" s="253">
        <f>[1]aux!U129</f>
        <v>7.6473765803717255E-3</v>
      </c>
      <c r="R42" s="254">
        <f>('[1]Modelo AHP'!$U$47*[1]aux!V129)+('[1]Modelo AHP'!$U$48*[1]aux!W129)+('[1]Modelo AHP'!$U$49*[1]aux!X129)</f>
        <v>8.5600658409944325E-3</v>
      </c>
      <c r="S42" s="253">
        <f>[1]aux!Z129</f>
        <v>7.6557228707806848E-3</v>
      </c>
      <c r="T42" s="252">
        <f>('[1]Modelo AHP'!$U$56*[1]aux!AA129)+('[1]Modelo AHP'!$U$57*[1]aux!AB129)+('[1]Modelo AHP'!$U$58*[1]aux!AC129)+('[1]Modelo AHP'!$U$59*[1]aux!AD129)</f>
        <v>9.3708301711294059E-3</v>
      </c>
      <c r="U42" s="251">
        <f>('[1]Modelo AHP'!$U$23*[1]aux!AE129)+('[1]Modelo AHP'!$U$24*[1]aux!AF129)+('[1]Modelo AHP'!$U$25*[1]aux!AG129)+('[1]Modelo AHP'!$U$26*[1]aux!AH129)+('[1]Modelo AHP'!$U$27*[1]aux!AI129)</f>
        <v>8.4921036135736407E-3</v>
      </c>
    </row>
    <row r="43" spans="1:21" ht="17.25" thickTop="1" thickBot="1">
      <c r="A43" s="260">
        <v>40</v>
      </c>
      <c r="B43" s="259" t="s">
        <v>48</v>
      </c>
      <c r="C43" s="258" t="s">
        <v>54</v>
      </c>
      <c r="D43" s="290">
        <v>19.670000000000002</v>
      </c>
      <c r="E43" s="291">
        <v>84.84</v>
      </c>
      <c r="F43" s="292">
        <v>44.037257596579629</v>
      </c>
      <c r="G43" s="293">
        <v>29320.7636426756</v>
      </c>
      <c r="H43" s="290">
        <v>7.65</v>
      </c>
      <c r="I43" s="294">
        <v>10.865</v>
      </c>
      <c r="J43" s="295">
        <v>3.9123004763116751</v>
      </c>
      <c r="K43" s="257">
        <v>69769.070000000007</v>
      </c>
      <c r="L43" s="255">
        <v>2.6796828932713096E-2</v>
      </c>
      <c r="M43" s="256">
        <v>900</v>
      </c>
      <c r="N43" s="255">
        <v>3.6999999999999998E-2</v>
      </c>
      <c r="O43" s="255">
        <v>4.5993579243923215E-2</v>
      </c>
      <c r="P43" s="254">
        <f>('[1]Modelo AHP'!$U$37*[1]aux!P41)+('[1]Modelo AHP'!$U$38*[1]aux!R41)+('[1]Modelo AHP'!$U$39*[1]aux!S41)</f>
        <v>1.1289013064421632E-2</v>
      </c>
      <c r="Q43" s="253">
        <f>[1]aux!U41</f>
        <v>7.6509239835452015E-3</v>
      </c>
      <c r="R43" s="254">
        <f>('[1]Modelo AHP'!$U$47*[1]aux!V41)+('[1]Modelo AHP'!$U$48*[1]aux!W41)+('[1]Modelo AHP'!$U$49*[1]aux!X41)</f>
        <v>8.2317308712127682E-3</v>
      </c>
      <c r="S43" s="253">
        <f>[1]aux!Z41</f>
        <v>7.6515864100044437E-3</v>
      </c>
      <c r="T43" s="252">
        <f>('[1]Modelo AHP'!$U$56*[1]aux!AA41)+('[1]Modelo AHP'!$U$57*[1]aux!AB41)+('[1]Modelo AHP'!$U$58*[1]aux!AC41)+('[1]Modelo AHP'!$U$59*[1]aux!AD41)</f>
        <v>7.4332302313602303E-3</v>
      </c>
      <c r="U43" s="251">
        <f>('[1]Modelo AHP'!$U$23*[1]aux!AE41)+('[1]Modelo AHP'!$U$24*[1]aux!AF41)+('[1]Modelo AHP'!$U$25*[1]aux!AG41)+('[1]Modelo AHP'!$U$26*[1]aux!AH41)+('[1]Modelo AHP'!$U$27*[1]aux!AI41)</f>
        <v>8.4362125174502235E-3</v>
      </c>
    </row>
    <row r="44" spans="1:21" ht="17.25" thickTop="1" thickBot="1">
      <c r="A44" s="260">
        <v>41</v>
      </c>
      <c r="B44" s="259" t="s">
        <v>78</v>
      </c>
      <c r="C44" s="258" t="s">
        <v>83</v>
      </c>
      <c r="D44" s="290">
        <v>7.95</v>
      </c>
      <c r="E44" s="291">
        <v>85.08</v>
      </c>
      <c r="F44" s="292">
        <v>52.705192223784358</v>
      </c>
      <c r="G44" s="293">
        <v>30302.515152026659</v>
      </c>
      <c r="H44" s="290">
        <v>8.01</v>
      </c>
      <c r="I44" s="294">
        <v>9.3049999999999997</v>
      </c>
      <c r="J44" s="295">
        <v>4.8734745628400864</v>
      </c>
      <c r="K44" s="257">
        <v>55757.16</v>
      </c>
      <c r="L44" s="255">
        <v>4.0725744972809973E-2</v>
      </c>
      <c r="M44" s="256">
        <v>1275</v>
      </c>
      <c r="N44" s="255">
        <v>4.5999999999999999E-2</v>
      </c>
      <c r="O44" s="255">
        <v>5.0999999999999997E-2</v>
      </c>
      <c r="P44" s="254">
        <f>('[1]Modelo AHP'!$U$37*[1]aux!P69)+('[1]Modelo AHP'!$U$38*[1]aux!R69)+('[1]Modelo AHP'!$U$39*[1]aux!S69)</f>
        <v>9.4251431803389005E-3</v>
      </c>
      <c r="Q44" s="253">
        <f>[1]aux!U69</f>
        <v>7.6495383266422896E-3</v>
      </c>
      <c r="R44" s="254">
        <f>('[1]Modelo AHP'!$U$47*[1]aux!V69)+('[1]Modelo AHP'!$U$48*[1]aux!W69)+('[1]Modelo AHP'!$U$49*[1]aux!X69)</f>
        <v>8.3872611467117018E-3</v>
      </c>
      <c r="S44" s="253">
        <f>[1]aux!Z69</f>
        <v>7.6597645746656288E-3</v>
      </c>
      <c r="T44" s="252">
        <f>('[1]Modelo AHP'!$U$56*[1]aux!AA69)+('[1]Modelo AHP'!$U$57*[1]aux!AB69)+('[1]Modelo AHP'!$U$58*[1]aux!AC69)+('[1]Modelo AHP'!$U$59*[1]aux!AD69)</f>
        <v>1.0069312852671299E-2</v>
      </c>
      <c r="U44" s="251">
        <f>('[1]Modelo AHP'!$U$23*[1]aux!AE69)+('[1]Modelo AHP'!$U$24*[1]aux!AF69)+('[1]Modelo AHP'!$U$25*[1]aux!AG69)+('[1]Modelo AHP'!$U$26*[1]aux!AH69)+('[1]Modelo AHP'!$U$27*[1]aux!AI69)</f>
        <v>8.4252636099154711E-3</v>
      </c>
    </row>
    <row r="45" spans="1:21" ht="17.25" thickTop="1" thickBot="1">
      <c r="A45" s="260">
        <v>42</v>
      </c>
      <c r="B45" s="259" t="s">
        <v>78</v>
      </c>
      <c r="C45" s="258" t="s">
        <v>81</v>
      </c>
      <c r="D45" s="290">
        <v>13.49</v>
      </c>
      <c r="E45" s="291">
        <v>85.98</v>
      </c>
      <c r="F45" s="292">
        <v>47.044157207532315</v>
      </c>
      <c r="G45" s="293">
        <v>31966.927904872642</v>
      </c>
      <c r="H45" s="290">
        <v>7.06</v>
      </c>
      <c r="I45" s="294">
        <v>8.6649999999999991</v>
      </c>
      <c r="J45" s="295">
        <v>4.8734745628400864</v>
      </c>
      <c r="K45" s="257">
        <v>63612.84</v>
      </c>
      <c r="L45" s="255">
        <v>4.0725744972809973E-2</v>
      </c>
      <c r="M45" s="256">
        <v>1275</v>
      </c>
      <c r="N45" s="255">
        <v>4.5999999999999999E-2</v>
      </c>
      <c r="O45" s="255">
        <v>5.0999999999999997E-2</v>
      </c>
      <c r="P45" s="254">
        <f>('[1]Modelo AHP'!$U$37*[1]aux!P67)+('[1]Modelo AHP'!$U$38*[1]aux!R67)+('[1]Modelo AHP'!$U$39*[1]aux!S67)</f>
        <v>1.0108664993529807E-2</v>
      </c>
      <c r="Q45" s="253">
        <f>[1]aux!U67</f>
        <v>7.6471891527440999E-3</v>
      </c>
      <c r="R45" s="254">
        <f>('[1]Modelo AHP'!$U$47*[1]aux!V67)+('[1]Modelo AHP'!$U$48*[1]aux!W67)+('[1]Modelo AHP'!$U$49*[1]aux!X67)</f>
        <v>7.9759196754700321E-3</v>
      </c>
      <c r="S45" s="253">
        <f>[1]aux!Z67</f>
        <v>7.6551795434624892E-3</v>
      </c>
      <c r="T45" s="252">
        <f>('[1]Modelo AHP'!$U$56*[1]aux!AA67)+('[1]Modelo AHP'!$U$57*[1]aux!AB67)+('[1]Modelo AHP'!$U$58*[1]aux!AC67)+('[1]Modelo AHP'!$U$59*[1]aux!AD67)</f>
        <v>1.0069312852671299E-2</v>
      </c>
      <c r="U45" s="251">
        <f>('[1]Modelo AHP'!$U$23*[1]aux!AE67)+('[1]Modelo AHP'!$U$24*[1]aux!AF67)+('[1]Modelo AHP'!$U$25*[1]aux!AG67)+('[1]Modelo AHP'!$U$26*[1]aux!AH67)+('[1]Modelo AHP'!$U$27*[1]aux!AI67)</f>
        <v>8.3976646908057902E-3</v>
      </c>
    </row>
    <row r="46" spans="1:21" ht="17.25" thickTop="1" thickBot="1">
      <c r="A46" s="260">
        <v>43</v>
      </c>
      <c r="B46" s="259" t="s">
        <v>48</v>
      </c>
      <c r="C46" s="258" t="s">
        <v>53</v>
      </c>
      <c r="D46" s="290">
        <v>17.989999999999998</v>
      </c>
      <c r="E46" s="291">
        <v>83.97</v>
      </c>
      <c r="F46" s="292">
        <v>46.513334964521654</v>
      </c>
      <c r="G46" s="293">
        <v>28693.648097831949</v>
      </c>
      <c r="H46" s="290">
        <v>7.96</v>
      </c>
      <c r="I46" s="294">
        <v>10.414999999999999</v>
      </c>
      <c r="J46" s="295">
        <v>3.9123004763116751</v>
      </c>
      <c r="K46" s="257">
        <v>56502.33</v>
      </c>
      <c r="L46" s="255">
        <v>2.6796828932713096E-2</v>
      </c>
      <c r="M46" s="256">
        <v>900</v>
      </c>
      <c r="N46" s="255">
        <v>3.6999999999999998E-2</v>
      </c>
      <c r="O46" s="255">
        <v>4.5993579243923215E-2</v>
      </c>
      <c r="P46" s="254">
        <f>('[1]Modelo AHP'!$U$37*[1]aux!P40)+('[1]Modelo AHP'!$U$38*[1]aux!R40)+('[1]Modelo AHP'!$U$39*[1]aux!S40)</f>
        <v>1.117766289790623E-2</v>
      </c>
      <c r="Q46" s="253">
        <f>[1]aux!U40</f>
        <v>7.6518091026159226E-3</v>
      </c>
      <c r="R46" s="254">
        <f>('[1]Modelo AHP'!$U$47*[1]aux!V40)+('[1]Modelo AHP'!$U$48*[1]aux!W40)+('[1]Modelo AHP'!$U$49*[1]aux!X40)</f>
        <v>8.1174944382660374E-3</v>
      </c>
      <c r="S46" s="253">
        <f>[1]aux!Z40</f>
        <v>7.65932965016493E-3</v>
      </c>
      <c r="T46" s="252">
        <f>('[1]Modelo AHP'!$U$56*[1]aux!AA40)+('[1]Modelo AHP'!$U$57*[1]aux!AB40)+('[1]Modelo AHP'!$U$58*[1]aux!AC40)+('[1]Modelo AHP'!$U$59*[1]aux!AD40)</f>
        <v>7.4332302313602303E-3</v>
      </c>
      <c r="U46" s="251">
        <f>('[1]Modelo AHP'!$U$23*[1]aux!AE40)+('[1]Modelo AHP'!$U$24*[1]aux!AF40)+('[1]Modelo AHP'!$U$25*[1]aux!AG40)+('[1]Modelo AHP'!$U$26*[1]aux!AH40)+('[1]Modelo AHP'!$U$27*[1]aux!AI40)</f>
        <v>8.3794597966103997E-3</v>
      </c>
    </row>
    <row r="47" spans="1:21" ht="17.25" thickTop="1" thickBot="1">
      <c r="A47" s="260">
        <v>44</v>
      </c>
      <c r="B47" s="259" t="s">
        <v>106</v>
      </c>
      <c r="C47" s="258" t="s">
        <v>107</v>
      </c>
      <c r="D47" s="290">
        <v>5.51</v>
      </c>
      <c r="E47" s="291">
        <v>83.23</v>
      </c>
      <c r="F47" s="292">
        <v>45.930563460443942</v>
      </c>
      <c r="G47" s="293">
        <v>34086.299353141534</v>
      </c>
      <c r="H47" s="290">
        <v>9.7799999999999994</v>
      </c>
      <c r="I47" s="294">
        <v>11.015000000000001</v>
      </c>
      <c r="J47" s="295">
        <v>5.0234978180597514</v>
      </c>
      <c r="K47" s="261">
        <v>98860.91</v>
      </c>
      <c r="L47" s="255">
        <v>4.1506065646934716E-2</v>
      </c>
      <c r="M47" s="256">
        <v>526</v>
      </c>
      <c r="N47" s="255">
        <v>4.2999999999999997E-2</v>
      </c>
      <c r="O47" s="255">
        <v>5.3999999999999999E-2</v>
      </c>
      <c r="P47" s="254">
        <f>('[1]Modelo AHP'!$U$37*[1]aux!P90)+('[1]Modelo AHP'!$U$38*[1]aux!R90)+('[1]Modelo AHP'!$U$39*[1]aux!S90)</f>
        <v>7.9539384077904479E-3</v>
      </c>
      <c r="Q47" s="253">
        <f>[1]aux!U90</f>
        <v>7.6441978442009948E-3</v>
      </c>
      <c r="R47" s="254">
        <f>('[1]Modelo AHP'!$U$47*[1]aux!V90)+('[1]Modelo AHP'!$U$48*[1]aux!W90)+('[1]Modelo AHP'!$U$49*[1]aux!X90)</f>
        <v>9.4548924677333966E-3</v>
      </c>
      <c r="S47" s="253">
        <f>[1]aux!Z90</f>
        <v>7.6346067221662543E-3</v>
      </c>
      <c r="T47" s="252">
        <f>('[1]Modelo AHP'!$U$56*[1]aux!AA90)+('[1]Modelo AHP'!$U$57*[1]aux!AB90)+('[1]Modelo AHP'!$U$58*[1]aux!AC90)+('[1]Modelo AHP'!$U$59*[1]aux!AD90)</f>
        <v>6.6644198812041569E-3</v>
      </c>
      <c r="U47" s="251">
        <f>('[1]Modelo AHP'!$U$23*[1]aux!AE90)+('[1]Modelo AHP'!$U$24*[1]aux!AF90)+('[1]Modelo AHP'!$U$25*[1]aux!AG90)+('[1]Modelo AHP'!$U$26*[1]aux!AH90)+('[1]Modelo AHP'!$U$27*[1]aux!AI90)</f>
        <v>8.222203467328975E-3</v>
      </c>
    </row>
    <row r="48" spans="1:21" ht="17.25" thickTop="1" thickBot="1">
      <c r="A48" s="260">
        <v>45</v>
      </c>
      <c r="B48" s="259" t="s">
        <v>17</v>
      </c>
      <c r="C48" s="258" t="s">
        <v>19</v>
      </c>
      <c r="D48" s="290">
        <v>16.93</v>
      </c>
      <c r="E48" s="291">
        <v>83.7</v>
      </c>
      <c r="F48" s="292">
        <v>33.63778298204528</v>
      </c>
      <c r="G48" s="293">
        <v>26761.666506434147</v>
      </c>
      <c r="H48" s="290">
        <v>7.69</v>
      </c>
      <c r="I48" s="294">
        <v>11.15</v>
      </c>
      <c r="J48" s="295">
        <v>4.1049064100816111</v>
      </c>
      <c r="K48" s="257">
        <v>86189.55</v>
      </c>
      <c r="L48" s="255">
        <v>3.7653037653037652E-2</v>
      </c>
      <c r="M48" s="256">
        <v>926</v>
      </c>
      <c r="N48" s="255">
        <v>3.2000000000000001E-2</v>
      </c>
      <c r="O48" s="255">
        <v>3.5000000000000003E-2</v>
      </c>
      <c r="P48" s="254">
        <f>('[1]Modelo AHP'!$U$37*[1]aux!P6)+('[1]Modelo AHP'!$U$38*[1]aux!R6)+('[1]Modelo AHP'!$U$39*[1]aux!S6)</f>
        <v>9.2843252178522011E-3</v>
      </c>
      <c r="Q48" s="253">
        <f>[1]aux!U6</f>
        <v>7.6545359266675496E-3</v>
      </c>
      <c r="R48" s="254">
        <f>('[1]Modelo AHP'!$U$47*[1]aux!V6)+('[1]Modelo AHP'!$U$48*[1]aux!W6)+('[1]Modelo AHP'!$U$49*[1]aux!X6)</f>
        <v>8.4825151449727625E-3</v>
      </c>
      <c r="S48" s="253">
        <f>[1]aux!Z6</f>
        <v>7.6420024639716998E-3</v>
      </c>
      <c r="T48" s="252">
        <f>('[1]Modelo AHP'!$U$56*[1]aux!AA6)+('[1]Modelo AHP'!$U$57*[1]aux!AB6)+('[1]Modelo AHP'!$U$58*[1]aux!AC6)+('[1]Modelo AHP'!$U$59*[1]aux!AD6)</f>
        <v>7.487080809295275E-3</v>
      </c>
      <c r="U48" s="251">
        <f>('[1]Modelo AHP'!$U$23*[1]aux!AE6)+('[1]Modelo AHP'!$U$24*[1]aux!AF6)+('[1]Modelo AHP'!$U$25*[1]aux!AG6)+('[1]Modelo AHP'!$U$26*[1]aux!AH6)+('[1]Modelo AHP'!$U$27*[1]aux!AI6)</f>
        <v>8.1928461807593226E-3</v>
      </c>
    </row>
    <row r="49" spans="1:21" ht="17.25" thickTop="1" thickBot="1">
      <c r="A49" s="260">
        <v>46</v>
      </c>
      <c r="B49" s="259" t="s">
        <v>48</v>
      </c>
      <c r="C49" s="258" t="s">
        <v>49</v>
      </c>
      <c r="D49" s="290">
        <v>18.84</v>
      </c>
      <c r="E49" s="291">
        <v>85.7</v>
      </c>
      <c r="F49" s="292">
        <v>41.111734495705839</v>
      </c>
      <c r="G49" s="293">
        <v>28860.619326379441</v>
      </c>
      <c r="H49" s="290">
        <v>7.1</v>
      </c>
      <c r="I49" s="294">
        <v>9.9750000000000014</v>
      </c>
      <c r="J49" s="295">
        <v>3.9123004763116751</v>
      </c>
      <c r="K49" s="257">
        <v>78296.899999999994</v>
      </c>
      <c r="L49" s="255">
        <v>2.6796828932713096E-2</v>
      </c>
      <c r="M49" s="256">
        <v>900</v>
      </c>
      <c r="N49" s="255">
        <v>3.6999999999999998E-2</v>
      </c>
      <c r="O49" s="255">
        <v>4.5993579243923215E-2</v>
      </c>
      <c r="P49" s="254">
        <f>('[1]Modelo AHP'!$U$37*[1]aux!P36)+('[1]Modelo AHP'!$U$38*[1]aux!R36)+('[1]Modelo AHP'!$U$39*[1]aux!S36)</f>
        <v>1.0710040811769423E-2</v>
      </c>
      <c r="Q49" s="253">
        <f>[1]aux!U36</f>
        <v>7.6515734372431463E-3</v>
      </c>
      <c r="R49" s="254">
        <f>('[1]Modelo AHP'!$U$47*[1]aux!V36)+('[1]Modelo AHP'!$U$48*[1]aux!W36)+('[1]Modelo AHP'!$U$49*[1]aux!X36)</f>
        <v>7.7976810138759723E-3</v>
      </c>
      <c r="S49" s="253">
        <f>[1]aux!Z36</f>
        <v>7.6466090730145132E-3</v>
      </c>
      <c r="T49" s="252">
        <f>('[1]Modelo AHP'!$U$56*[1]aux!AA36)+('[1]Modelo AHP'!$U$57*[1]aux!AB36)+('[1]Modelo AHP'!$U$58*[1]aux!AC36)+('[1]Modelo AHP'!$U$59*[1]aux!AD36)</f>
        <v>7.4332302313602303E-3</v>
      </c>
      <c r="U49" s="251">
        <f>('[1]Modelo AHP'!$U$23*[1]aux!AE36)+('[1]Modelo AHP'!$U$24*[1]aux!AF36)+('[1]Modelo AHP'!$U$25*[1]aux!AG36)+('[1]Modelo AHP'!$U$26*[1]aux!AH36)+('[1]Modelo AHP'!$U$27*[1]aux!AI36)</f>
        <v>8.191100233668645E-3</v>
      </c>
    </row>
    <row r="50" spans="1:21" ht="17.25" thickTop="1" thickBot="1">
      <c r="A50" s="260">
        <v>47</v>
      </c>
      <c r="B50" s="259" t="s">
        <v>113</v>
      </c>
      <c r="C50" s="258" t="s">
        <v>114</v>
      </c>
      <c r="D50" s="290">
        <v>12.35</v>
      </c>
      <c r="E50" s="291">
        <v>85.38</v>
      </c>
      <c r="F50" s="292">
        <v>48.26505774509296</v>
      </c>
      <c r="G50" s="293">
        <v>26743.711279244311</v>
      </c>
      <c r="H50" s="290">
        <v>8.33</v>
      </c>
      <c r="I50" s="294">
        <v>10.855</v>
      </c>
      <c r="J50" s="295">
        <v>3.9481884365881985</v>
      </c>
      <c r="K50" s="261">
        <v>69396.02</v>
      </c>
      <c r="L50" s="255">
        <v>3.5803244162734657E-2</v>
      </c>
      <c r="M50" s="256">
        <v>615</v>
      </c>
      <c r="N50" s="255">
        <v>3.5000000000000003E-2</v>
      </c>
      <c r="O50" s="255">
        <v>4.5999999999999999E-2</v>
      </c>
      <c r="P50" s="254">
        <f>('[1]Modelo AHP'!$U$37*[1]aux!P96)+('[1]Modelo AHP'!$U$38*[1]aux!R96)+('[1]Modelo AHP'!$U$39*[1]aux!S96)</f>
        <v>9.975111595882118E-3</v>
      </c>
      <c r="Q50" s="253">
        <f>[1]aux!U96</f>
        <v>7.6545612689097172E-3</v>
      </c>
      <c r="R50" s="254">
        <f>('[1]Modelo AHP'!$U$47*[1]aux!V96)+('[1]Modelo AHP'!$U$48*[1]aux!W96)+('[1]Modelo AHP'!$U$49*[1]aux!X96)</f>
        <v>8.3750002455772535E-3</v>
      </c>
      <c r="S50" s="253">
        <f>[1]aux!Z96</f>
        <v>7.6518041436558068E-3</v>
      </c>
      <c r="T50" s="252">
        <f>('[1]Modelo AHP'!$U$56*[1]aux!AA96)+('[1]Modelo AHP'!$U$57*[1]aux!AB96)+('[1]Modelo AHP'!$U$58*[1]aux!AC96)+('[1]Modelo AHP'!$U$59*[1]aux!AD96)</f>
        <v>6.3745039062373214E-3</v>
      </c>
      <c r="U50" s="251">
        <f>('[1]Modelo AHP'!$U$23*[1]aux!AE96)+('[1]Modelo AHP'!$U$24*[1]aux!AF96)+('[1]Modelo AHP'!$U$25*[1]aux!AG96)+('[1]Modelo AHP'!$U$26*[1]aux!AH96)+('[1]Modelo AHP'!$U$27*[1]aux!AI96)</f>
        <v>8.1679741933115783E-3</v>
      </c>
    </row>
    <row r="51" spans="1:21" ht="17.25" thickTop="1" thickBot="1">
      <c r="A51" s="260">
        <v>48</v>
      </c>
      <c r="B51" s="259" t="s">
        <v>137</v>
      </c>
      <c r="C51" s="258" t="s">
        <v>328</v>
      </c>
      <c r="D51" s="290">
        <v>3.99</v>
      </c>
      <c r="E51" s="291">
        <v>83.88</v>
      </c>
      <c r="F51" s="292">
        <v>34.775563117809106</v>
      </c>
      <c r="G51" s="293">
        <v>39388.657380949902</v>
      </c>
      <c r="H51" s="290">
        <v>9.4600000000000009</v>
      </c>
      <c r="I51" s="294">
        <v>9.61</v>
      </c>
      <c r="J51" s="295">
        <v>5.7942098619650642</v>
      </c>
      <c r="K51" s="257">
        <v>61768.78</v>
      </c>
      <c r="L51" s="255">
        <v>6.2643898695318501E-2</v>
      </c>
      <c r="M51" s="256">
        <v>715</v>
      </c>
      <c r="N51" s="255">
        <v>6.2E-2</v>
      </c>
      <c r="O51" s="255">
        <v>7.0000000000000007E-2</v>
      </c>
      <c r="P51" s="254">
        <f>('[1]Modelo AHP'!$U$37*[1]aux!P120)+('[1]Modelo AHP'!$U$38*[1]aux!R120)+('[1]Modelo AHP'!$U$39*[1]aux!S120)</f>
        <v>6.1616778665731769E-3</v>
      </c>
      <c r="Q51" s="253">
        <f>[1]aux!U120</f>
        <v>7.6367140268266782E-3</v>
      </c>
      <c r="R51" s="254">
        <f>('[1]Modelo AHP'!$U$47*[1]aux!V120)+('[1]Modelo AHP'!$U$48*[1]aux!W120)+('[1]Modelo AHP'!$U$49*[1]aux!X120)</f>
        <v>9.4125722076106345E-3</v>
      </c>
      <c r="S51" s="253">
        <f>[1]aux!Z120</f>
        <v>7.656255844004322E-3</v>
      </c>
      <c r="T51" s="252">
        <f>('[1]Modelo AHP'!$U$56*[1]aux!AA120)+('[1]Modelo AHP'!$U$57*[1]aux!AB120)+('[1]Modelo AHP'!$U$58*[1]aux!AC120)+('[1]Modelo AHP'!$U$59*[1]aux!AD120)</f>
        <v>9.349748942634975E-3</v>
      </c>
      <c r="U51" s="251">
        <f>('[1]Modelo AHP'!$U$23*[1]aux!AE120)+('[1]Modelo AHP'!$U$24*[1]aux!AF120)+('[1]Modelo AHP'!$U$25*[1]aux!AG120)+('[1]Modelo AHP'!$U$26*[1]aux!AH120)+('[1]Modelo AHP'!$U$27*[1]aux!AI120)</f>
        <v>8.1592498347564085E-3</v>
      </c>
    </row>
    <row r="52" spans="1:21" ht="17.25" thickTop="1" thickBot="1">
      <c r="A52" s="260">
        <v>49</v>
      </c>
      <c r="B52" s="259" t="s">
        <v>113</v>
      </c>
      <c r="C52" s="258" t="s">
        <v>115</v>
      </c>
      <c r="D52" s="290">
        <v>13.37</v>
      </c>
      <c r="E52" s="291">
        <v>85.74</v>
      </c>
      <c r="F52" s="292">
        <v>49.435909990411488</v>
      </c>
      <c r="G52" s="293">
        <v>30457.924157083533</v>
      </c>
      <c r="H52" s="290">
        <v>7.84</v>
      </c>
      <c r="I52" s="294">
        <v>9.7349999999999994</v>
      </c>
      <c r="J52" s="295">
        <v>3.9481884365881985</v>
      </c>
      <c r="K52" s="261">
        <v>69922.97</v>
      </c>
      <c r="L52" s="255">
        <v>3.5803244162734657E-2</v>
      </c>
      <c r="M52" s="256">
        <v>615</v>
      </c>
      <c r="N52" s="255">
        <v>3.5000000000000003E-2</v>
      </c>
      <c r="O52" s="255">
        <v>4.5999999999999999E-2</v>
      </c>
      <c r="P52" s="254">
        <f>('[1]Modelo AHP'!$U$37*[1]aux!P97)+('[1]Modelo AHP'!$U$38*[1]aux!R97)+('[1]Modelo AHP'!$U$39*[1]aux!S97)</f>
        <v>1.0380397250425439E-2</v>
      </c>
      <c r="Q52" s="253">
        <f>[1]aux!U97</f>
        <v>7.6493189803427614E-3</v>
      </c>
      <c r="R52" s="254">
        <f>('[1]Modelo AHP'!$U$47*[1]aux!V97)+('[1]Modelo AHP'!$U$48*[1]aux!W97)+('[1]Modelo AHP'!$U$49*[1]aux!X97)</f>
        <v>7.8649482045050033E-3</v>
      </c>
      <c r="S52" s="253">
        <f>[1]aux!Z97</f>
        <v>7.6514965850240273E-3</v>
      </c>
      <c r="T52" s="252">
        <f>('[1]Modelo AHP'!$U$56*[1]aux!AA97)+('[1]Modelo AHP'!$U$57*[1]aux!AB97)+('[1]Modelo AHP'!$U$58*[1]aux!AC97)+('[1]Modelo AHP'!$U$59*[1]aux!AD97)</f>
        <v>6.3745039062373214E-3</v>
      </c>
      <c r="U52" s="251">
        <f>('[1]Modelo AHP'!$U$23*[1]aux!AE97)+('[1]Modelo AHP'!$U$24*[1]aux!AF97)+('[1]Modelo AHP'!$U$25*[1]aux!AG97)+('[1]Modelo AHP'!$U$26*[1]aux!AH97)+('[1]Modelo AHP'!$U$27*[1]aux!AI97)</f>
        <v>8.0595979919442073E-3</v>
      </c>
    </row>
    <row r="53" spans="1:21" ht="17.25" thickTop="1" thickBot="1">
      <c r="A53" s="260">
        <v>50</v>
      </c>
      <c r="B53" s="259" t="s">
        <v>134</v>
      </c>
      <c r="C53" s="258" t="s">
        <v>327</v>
      </c>
      <c r="D53" s="290">
        <v>6.37</v>
      </c>
      <c r="E53" s="291">
        <v>84.76</v>
      </c>
      <c r="F53" s="292">
        <v>27.872460851518774</v>
      </c>
      <c r="G53" s="293">
        <v>33052.509383268851</v>
      </c>
      <c r="H53" s="290">
        <v>6.98</v>
      </c>
      <c r="I53" s="294">
        <v>9.0350000000000001</v>
      </c>
      <c r="J53" s="295">
        <v>5.9143306261461879</v>
      </c>
      <c r="K53" s="257">
        <v>70851.539999999994</v>
      </c>
      <c r="L53" s="255">
        <v>4.665167234999637E-2</v>
      </c>
      <c r="M53" s="256">
        <v>1388</v>
      </c>
      <c r="N53" s="255">
        <v>3.6999999999999998E-2</v>
      </c>
      <c r="O53" s="255">
        <v>5.2999999999999999E-2</v>
      </c>
      <c r="P53" s="254">
        <f>('[1]Modelo AHP'!$U$37*[1]aux!P118)+('[1]Modelo AHP'!$U$38*[1]aux!R118)+('[1]Modelo AHP'!$U$39*[1]aux!S118)</f>
        <v>5.8907215037850283E-3</v>
      </c>
      <c r="Q53" s="253">
        <f>[1]aux!U118</f>
        <v>7.6456569488667593E-3</v>
      </c>
      <c r="R53" s="254">
        <f>('[1]Modelo AHP'!$U$47*[1]aux!V118)+('[1]Modelo AHP'!$U$48*[1]aux!W118)+('[1]Modelo AHP'!$U$49*[1]aux!X118)</f>
        <v>8.8368903887494545E-3</v>
      </c>
      <c r="S53" s="253">
        <f>[1]aux!Z118</f>
        <v>7.6509546176291871E-3</v>
      </c>
      <c r="T53" s="252">
        <f>('[1]Modelo AHP'!$U$56*[1]aux!AA118)+('[1]Modelo AHP'!$U$57*[1]aux!AB118)+('[1]Modelo AHP'!$U$58*[1]aux!AC118)+('[1]Modelo AHP'!$U$59*[1]aux!AD118)</f>
        <v>1.0442936896404364E-2</v>
      </c>
      <c r="U53" s="251">
        <f>('[1]Modelo AHP'!$U$23*[1]aux!AE118)+('[1]Modelo AHP'!$U$24*[1]aux!AF118)+('[1]Modelo AHP'!$U$25*[1]aux!AG118)+('[1]Modelo AHP'!$U$26*[1]aux!AH118)+('[1]Modelo AHP'!$U$27*[1]aux!AI118)</f>
        <v>8.0221356216718682E-3</v>
      </c>
    </row>
    <row r="54" spans="1:21" ht="17.25" thickTop="1" thickBot="1">
      <c r="A54" s="260">
        <v>51</v>
      </c>
      <c r="B54" s="259" t="s">
        <v>113</v>
      </c>
      <c r="C54" s="258" t="s">
        <v>116</v>
      </c>
      <c r="D54" s="290">
        <v>14.1</v>
      </c>
      <c r="E54" s="291">
        <v>84.52</v>
      </c>
      <c r="F54" s="292">
        <v>42.515000252105075</v>
      </c>
      <c r="G54" s="293">
        <v>30692.208681767053</v>
      </c>
      <c r="H54" s="290">
        <v>7.59</v>
      </c>
      <c r="I54" s="294">
        <v>10.065000000000001</v>
      </c>
      <c r="J54" s="295">
        <v>3.9481884365881985</v>
      </c>
      <c r="K54" s="261">
        <v>78315.240000000005</v>
      </c>
      <c r="L54" s="255">
        <v>3.5803244162734657E-2</v>
      </c>
      <c r="M54" s="256">
        <v>615</v>
      </c>
      <c r="N54" s="255">
        <v>3.5000000000000003E-2</v>
      </c>
      <c r="O54" s="255">
        <v>4.5999999999999999E-2</v>
      </c>
      <c r="P54" s="254">
        <f>('[1]Modelo AHP'!$U$37*[1]aux!P98)+('[1]Modelo AHP'!$U$38*[1]aux!R98)+('[1]Modelo AHP'!$U$39*[1]aux!S98)</f>
        <v>9.6908463009904716E-3</v>
      </c>
      <c r="Q54" s="253">
        <f>[1]aux!U98</f>
        <v>7.648988308104644E-3</v>
      </c>
      <c r="R54" s="254">
        <f>('[1]Modelo AHP'!$U$47*[1]aux!V98)+('[1]Modelo AHP'!$U$48*[1]aux!W98)+('[1]Modelo AHP'!$U$49*[1]aux!X98)</f>
        <v>7.944665839899813E-3</v>
      </c>
      <c r="S54" s="253">
        <f>[1]aux!Z98</f>
        <v>7.6465983687250992E-3</v>
      </c>
      <c r="T54" s="252">
        <f>('[1]Modelo AHP'!$U$56*[1]aux!AA98)+('[1]Modelo AHP'!$U$57*[1]aux!AB98)+('[1]Modelo AHP'!$U$58*[1]aux!AC98)+('[1]Modelo AHP'!$U$59*[1]aux!AD98)</f>
        <v>6.3745039062373214E-3</v>
      </c>
      <c r="U54" s="251">
        <f>('[1]Modelo AHP'!$U$23*[1]aux!AE98)+('[1]Modelo AHP'!$U$24*[1]aux!AF98)+('[1]Modelo AHP'!$U$25*[1]aux!AG98)+('[1]Modelo AHP'!$U$26*[1]aux!AH98)+('[1]Modelo AHP'!$U$27*[1]aux!AI98)</f>
        <v>7.971289093780972E-3</v>
      </c>
    </row>
    <row r="55" spans="1:21" ht="17.25" thickTop="1" thickBot="1">
      <c r="A55" s="260">
        <v>52</v>
      </c>
      <c r="B55" s="259" t="s">
        <v>106</v>
      </c>
      <c r="C55" s="258" t="s">
        <v>112</v>
      </c>
      <c r="D55" s="290">
        <v>7.57</v>
      </c>
      <c r="E55" s="291">
        <v>84.22</v>
      </c>
      <c r="F55" s="292">
        <v>46.749654218533884</v>
      </c>
      <c r="G55" s="293">
        <v>29493.004862023456</v>
      </c>
      <c r="H55" s="290">
        <v>7.88</v>
      </c>
      <c r="I55" s="294">
        <v>9.1150000000000002</v>
      </c>
      <c r="J55" s="295">
        <v>5.0234978180597514</v>
      </c>
      <c r="K55" s="261">
        <v>74635.100000000006</v>
      </c>
      <c r="L55" s="255">
        <v>4.1506065646934716E-2</v>
      </c>
      <c r="M55" s="256">
        <v>526</v>
      </c>
      <c r="N55" s="255">
        <v>4.2999999999999997E-2</v>
      </c>
      <c r="O55" s="255">
        <v>5.3999999999999999E-2</v>
      </c>
      <c r="P55" s="254">
        <f>('[1]Modelo AHP'!$U$37*[1]aux!P95)+('[1]Modelo AHP'!$U$38*[1]aux!R95)+('[1]Modelo AHP'!$U$39*[1]aux!S95)</f>
        <v>8.5772794176880683E-3</v>
      </c>
      <c r="Q55" s="253">
        <f>[1]aux!U95</f>
        <v>7.6506808800385793E-3</v>
      </c>
      <c r="R55" s="254">
        <f>('[1]Modelo AHP'!$U$47*[1]aux!V95)+('[1]Modelo AHP'!$U$48*[1]aux!W95)+('[1]Modelo AHP'!$U$49*[1]aux!X95)</f>
        <v>8.3983940758519549E-3</v>
      </c>
      <c r="S55" s="253">
        <f>[1]aux!Z95</f>
        <v>7.6487463122171867E-3</v>
      </c>
      <c r="T55" s="252">
        <f>('[1]Modelo AHP'!$U$56*[1]aux!AA95)+('[1]Modelo AHP'!$U$57*[1]aux!AB95)+('[1]Modelo AHP'!$U$58*[1]aux!AC95)+('[1]Modelo AHP'!$U$59*[1]aux!AD95)</f>
        <v>6.6644198812041569E-3</v>
      </c>
      <c r="U55" s="251">
        <f>('[1]Modelo AHP'!$U$23*[1]aux!AE95)+('[1]Modelo AHP'!$U$24*[1]aux!AF95)+('[1]Modelo AHP'!$U$25*[1]aux!AG95)+('[1]Modelo AHP'!$U$26*[1]aux!AH95)+('[1]Modelo AHP'!$U$27*[1]aux!AI95)</f>
        <v>7.9683511884870353E-3</v>
      </c>
    </row>
    <row r="56" spans="1:21" ht="17.25" thickTop="1" thickBot="1">
      <c r="A56" s="260">
        <v>53</v>
      </c>
      <c r="B56" s="259" t="s">
        <v>106</v>
      </c>
      <c r="C56" s="258" t="s">
        <v>110</v>
      </c>
      <c r="D56" s="290">
        <v>6.49</v>
      </c>
      <c r="E56" s="291">
        <v>86.24</v>
      </c>
      <c r="F56" s="292">
        <v>43.284313725490193</v>
      </c>
      <c r="G56" s="293">
        <v>35922.080593747705</v>
      </c>
      <c r="H56" s="290">
        <v>8.75</v>
      </c>
      <c r="I56" s="294">
        <v>9.6449999999999996</v>
      </c>
      <c r="J56" s="295">
        <v>5.0234978180597514</v>
      </c>
      <c r="K56" s="261">
        <v>85791.77</v>
      </c>
      <c r="L56" s="255">
        <v>4.1506065646934716E-2</v>
      </c>
      <c r="M56" s="256">
        <v>526</v>
      </c>
      <c r="N56" s="255">
        <v>4.2999999999999997E-2</v>
      </c>
      <c r="O56" s="255">
        <v>5.3999999999999999E-2</v>
      </c>
      <c r="P56" s="254">
        <f>('[1]Modelo AHP'!$U$37*[1]aux!P93)+('[1]Modelo AHP'!$U$38*[1]aux!R93)+('[1]Modelo AHP'!$U$39*[1]aux!S93)</f>
        <v>7.8669595464410796E-3</v>
      </c>
      <c r="Q56" s="253">
        <f>[1]aux!U93</f>
        <v>7.641606798580944E-3</v>
      </c>
      <c r="R56" s="254">
        <f>('[1]Modelo AHP'!$U$47*[1]aux!V93)+('[1]Modelo AHP'!$U$48*[1]aux!W93)+('[1]Modelo AHP'!$U$49*[1]aux!X93)</f>
        <v>8.753937753500236E-3</v>
      </c>
      <c r="S56" s="253">
        <f>[1]aux!Z93</f>
        <v>7.6422346314876863E-3</v>
      </c>
      <c r="T56" s="252">
        <f>('[1]Modelo AHP'!$U$56*[1]aux!AA93)+('[1]Modelo AHP'!$U$57*[1]aux!AB93)+('[1]Modelo AHP'!$U$58*[1]aux!AC93)+('[1]Modelo AHP'!$U$59*[1]aux!AD93)</f>
        <v>6.6644198812041569E-3</v>
      </c>
      <c r="U56" s="251">
        <f>('[1]Modelo AHP'!$U$23*[1]aux!AE93)+('[1]Modelo AHP'!$U$24*[1]aux!AF93)+('[1]Modelo AHP'!$U$25*[1]aux!AG93)+('[1]Modelo AHP'!$U$26*[1]aux!AH93)+('[1]Modelo AHP'!$U$27*[1]aux!AI93)</f>
        <v>7.9678910787516141E-3</v>
      </c>
    </row>
    <row r="57" spans="1:21" ht="17.25" thickTop="1" thickBot="1">
      <c r="A57" s="260">
        <v>54</v>
      </c>
      <c r="B57" s="259" t="s">
        <v>78</v>
      </c>
      <c r="C57" s="258" t="s">
        <v>82</v>
      </c>
      <c r="D57" s="290">
        <v>4.1100000000000003</v>
      </c>
      <c r="E57" s="291">
        <v>88.21</v>
      </c>
      <c r="F57" s="292">
        <v>29.392570281124499</v>
      </c>
      <c r="G57" s="293">
        <v>35491.548435274912</v>
      </c>
      <c r="H57" s="290">
        <v>7.84</v>
      </c>
      <c r="I57" s="294">
        <v>9.6850000000000005</v>
      </c>
      <c r="J57" s="295">
        <v>4.8734745628400864</v>
      </c>
      <c r="K57" s="257">
        <v>60311.44</v>
      </c>
      <c r="L57" s="255">
        <v>4.0725744972809973E-2</v>
      </c>
      <c r="M57" s="256">
        <v>1275</v>
      </c>
      <c r="N57" s="255">
        <v>4.5999999999999999E-2</v>
      </c>
      <c r="O57" s="255">
        <v>5.0999999999999997E-2</v>
      </c>
      <c r="P57" s="254">
        <f>('[1]Modelo AHP'!$U$37*[1]aux!P68)+('[1]Modelo AHP'!$U$38*[1]aux!R68)+('[1]Modelo AHP'!$U$39*[1]aux!S68)</f>
        <v>5.511959542841758E-3</v>
      </c>
      <c r="Q57" s="253">
        <f>[1]aux!U68</f>
        <v>7.6422144572925749E-3</v>
      </c>
      <c r="R57" s="254">
        <f>('[1]Modelo AHP'!$U$47*[1]aux!V68)+('[1]Modelo AHP'!$U$48*[1]aux!W68)+('[1]Modelo AHP'!$U$49*[1]aux!X68)</f>
        <v>8.5001492741452449E-3</v>
      </c>
      <c r="S57" s="253">
        <f>[1]aux!Z68</f>
        <v>7.6571064322886687E-3</v>
      </c>
      <c r="T57" s="252">
        <f>('[1]Modelo AHP'!$U$56*[1]aux!AA68)+('[1]Modelo AHP'!$U$57*[1]aux!AB68)+('[1]Modelo AHP'!$U$58*[1]aux!AC68)+('[1]Modelo AHP'!$U$59*[1]aux!AD68)</f>
        <v>1.0069312852671299E-2</v>
      </c>
      <c r="U57" s="251">
        <f>('[1]Modelo AHP'!$U$23*[1]aux!AE68)+('[1]Modelo AHP'!$U$24*[1]aux!AF68)+('[1]Modelo AHP'!$U$25*[1]aux!AG68)+('[1]Modelo AHP'!$U$26*[1]aux!AH68)+('[1]Modelo AHP'!$U$27*[1]aux!AI68)</f>
        <v>7.8082263548185918E-3</v>
      </c>
    </row>
    <row r="58" spans="1:21" ht="17.25" thickTop="1" thickBot="1">
      <c r="A58" s="260">
        <v>55</v>
      </c>
      <c r="B58" s="259" t="s">
        <v>147</v>
      </c>
      <c r="C58" s="258" t="s">
        <v>149</v>
      </c>
      <c r="D58" s="290">
        <v>15.13</v>
      </c>
      <c r="E58" s="291">
        <v>82.12</v>
      </c>
      <c r="F58" s="292">
        <v>58.255897069335241</v>
      </c>
      <c r="G58" s="293">
        <v>25366</v>
      </c>
      <c r="H58" s="290">
        <v>7.84</v>
      </c>
      <c r="I58" s="294">
        <v>9.0749999999999993</v>
      </c>
      <c r="J58" s="295">
        <v>2.8390176496451227</v>
      </c>
      <c r="K58" s="257">
        <v>73503.58</v>
      </c>
      <c r="L58" s="255">
        <v>2.4022988505747127E-2</v>
      </c>
      <c r="M58" s="256">
        <v>80</v>
      </c>
      <c r="N58" s="255">
        <v>2.5999999999999999E-2</v>
      </c>
      <c r="O58" s="255">
        <v>3.1E-2</v>
      </c>
      <c r="P58" s="254">
        <f>('[1]Modelo AHP'!$U$37*[1]aux!P132)+('[1]Modelo AHP'!$U$38*[1]aux!R132)+('[1]Modelo AHP'!$U$39*[1]aux!S132)</f>
        <v>1.1938602451637066E-2</v>
      </c>
      <c r="Q58" s="253">
        <f>[1]aux!U132</f>
        <v>7.6565057886034691E-3</v>
      </c>
      <c r="R58" s="254">
        <f>('[1]Modelo AHP'!$U$47*[1]aux!V132)+('[1]Modelo AHP'!$U$48*[1]aux!W132)+('[1]Modelo AHP'!$U$49*[1]aux!X132)</f>
        <v>6.8320081531811541E-3</v>
      </c>
      <c r="S58" s="253">
        <f>[1]aux!Z132</f>
        <v>7.6494067330218742E-3</v>
      </c>
      <c r="T58" s="252">
        <f>('[1]Modelo AHP'!$U$56*[1]aux!AA132)+('[1]Modelo AHP'!$U$57*[1]aux!AB132)+('[1]Modelo AHP'!$U$58*[1]aux!AC132)+('[1]Modelo AHP'!$U$59*[1]aux!AD132)</f>
        <v>2.8897023671300669E-3</v>
      </c>
      <c r="U58" s="251">
        <f>('[1]Modelo AHP'!$U$23*[1]aux!AE132)+('[1]Modelo AHP'!$U$24*[1]aux!AF132)+('[1]Modelo AHP'!$U$25*[1]aux!AG132)+('[1]Modelo AHP'!$U$26*[1]aux!AH132)+('[1]Modelo AHP'!$U$27*[1]aux!AI132)</f>
        <v>7.6425757116752929E-3</v>
      </c>
    </row>
    <row r="59" spans="1:21" ht="17.25" thickTop="1" thickBot="1">
      <c r="A59" s="260">
        <v>56</v>
      </c>
      <c r="B59" s="259" t="s">
        <v>122</v>
      </c>
      <c r="C59" s="258" t="s">
        <v>126</v>
      </c>
      <c r="D59" s="290">
        <v>7.29</v>
      </c>
      <c r="E59" s="291">
        <v>85.33</v>
      </c>
      <c r="F59" s="292">
        <v>46.049221257876589</v>
      </c>
      <c r="G59" s="293">
        <v>33796.320032797885</v>
      </c>
      <c r="H59" s="290">
        <v>8.42</v>
      </c>
      <c r="I59" s="294">
        <v>10.51</v>
      </c>
      <c r="J59" s="295">
        <v>3.3673435856992637</v>
      </c>
      <c r="K59" s="257">
        <v>80414.91</v>
      </c>
      <c r="L59" s="255">
        <v>3.2195456102294781E-2</v>
      </c>
      <c r="M59" s="256">
        <v>415</v>
      </c>
      <c r="N59" s="255">
        <v>3.5000000000000003E-2</v>
      </c>
      <c r="O59" s="255">
        <v>0.04</v>
      </c>
      <c r="P59" s="254">
        <f>('[1]Modelo AHP'!$U$37*[1]aux!P108)+('[1]Modelo AHP'!$U$38*[1]aux!R108)+('[1]Modelo AHP'!$U$39*[1]aux!S108)</f>
        <v>8.4180818077603612E-3</v>
      </c>
      <c r="Q59" s="253">
        <f>[1]aux!U108</f>
        <v>7.644607124801135E-3</v>
      </c>
      <c r="R59" s="254">
        <f>('[1]Modelo AHP'!$U$47*[1]aux!V108)+('[1]Modelo AHP'!$U$48*[1]aux!W108)+('[1]Modelo AHP'!$U$49*[1]aux!X108)</f>
        <v>7.8504150759353113E-3</v>
      </c>
      <c r="S59" s="253">
        <f>[1]aux!Z108</f>
        <v>7.6453728793382742E-3</v>
      </c>
      <c r="T59" s="252">
        <f>('[1]Modelo AHP'!$U$56*[1]aux!AA108)+('[1]Modelo AHP'!$U$57*[1]aux!AB108)+('[1]Modelo AHP'!$U$58*[1]aux!AC108)+('[1]Modelo AHP'!$U$59*[1]aux!AD108)</f>
        <v>5.2314312249206515E-3</v>
      </c>
      <c r="U59" s="251">
        <f>('[1]Modelo AHP'!$U$23*[1]aux!AE108)+('[1]Modelo AHP'!$U$24*[1]aux!AF108)+('[1]Modelo AHP'!$U$25*[1]aux!AG108)+('[1]Modelo AHP'!$U$26*[1]aux!AH108)+('[1]Modelo AHP'!$U$27*[1]aux!AI108)</f>
        <v>7.6181574029861639E-3</v>
      </c>
    </row>
    <row r="60" spans="1:21" ht="17.25" thickTop="1" thickBot="1">
      <c r="A60" s="260">
        <v>57</v>
      </c>
      <c r="B60" s="259" t="s">
        <v>137</v>
      </c>
      <c r="C60" s="258" t="s">
        <v>330</v>
      </c>
      <c r="D60" s="290">
        <v>4.38</v>
      </c>
      <c r="E60" s="291">
        <v>84.8</v>
      </c>
      <c r="F60" s="292">
        <v>31.926605504587155</v>
      </c>
      <c r="G60" s="293">
        <v>19674</v>
      </c>
      <c r="H60" s="290">
        <v>5.32</v>
      </c>
      <c r="I60" s="294">
        <v>7.6300000000000008</v>
      </c>
      <c r="J60" s="295">
        <v>5.7942098619650642</v>
      </c>
      <c r="K60" s="257">
        <v>92644.68</v>
      </c>
      <c r="L60" s="255">
        <v>6.2643898695318501E-2</v>
      </c>
      <c r="M60" s="256">
        <v>715</v>
      </c>
      <c r="N60" s="255">
        <v>6.2E-2</v>
      </c>
      <c r="O60" s="255">
        <v>7.0000000000000007E-2</v>
      </c>
      <c r="P60" s="254">
        <f>('[1]Modelo AHP'!$U$37*[1]aux!P122)+('[1]Modelo AHP'!$U$38*[1]aux!R122)+('[1]Modelo AHP'!$U$39*[1]aux!S122)</f>
        <v>5.9003205624179149E-3</v>
      </c>
      <c r="Q60" s="253">
        <f>[1]aux!U122</f>
        <v>7.6645395517464347E-3</v>
      </c>
      <c r="R60" s="254">
        <f>('[1]Modelo AHP'!$U$47*[1]aux!V122)+('[1]Modelo AHP'!$U$48*[1]aux!W122)+('[1]Modelo AHP'!$U$49*[1]aux!X122)</f>
        <v>7.9251006728470793E-3</v>
      </c>
      <c r="S60" s="253">
        <f>[1]aux!Z122</f>
        <v>7.6382348751098429E-3</v>
      </c>
      <c r="T60" s="252">
        <f>('[1]Modelo AHP'!$U$56*[1]aux!AA122)+('[1]Modelo AHP'!$U$57*[1]aux!AB122)+('[1]Modelo AHP'!$U$58*[1]aux!AC122)+('[1]Modelo AHP'!$U$59*[1]aux!AD122)</f>
        <v>9.349748942634975E-3</v>
      </c>
      <c r="U60" s="251">
        <f>('[1]Modelo AHP'!$U$23*[1]aux!AE122)+('[1]Modelo AHP'!$U$24*[1]aux!AF122)+('[1]Modelo AHP'!$U$25*[1]aux!AG122)+('[1]Modelo AHP'!$U$26*[1]aux!AH122)+('[1]Modelo AHP'!$U$27*[1]aux!AI122)</f>
        <v>7.6149486892543167E-3</v>
      </c>
    </row>
    <row r="61" spans="1:21" ht="17.25" thickTop="1" thickBot="1">
      <c r="A61" s="260">
        <v>58</v>
      </c>
      <c r="B61" s="259" t="s">
        <v>17</v>
      </c>
      <c r="C61" s="258" t="s">
        <v>23</v>
      </c>
      <c r="D61" s="290">
        <v>13.7</v>
      </c>
      <c r="E61" s="291">
        <v>82.47</v>
      </c>
      <c r="F61" s="292">
        <v>25.620749644156255</v>
      </c>
      <c r="G61" s="293">
        <v>31684.186417871879</v>
      </c>
      <c r="H61" s="290">
        <v>6.55</v>
      </c>
      <c r="I61" s="294">
        <v>9.5150000000000006</v>
      </c>
      <c r="J61" s="295">
        <v>4.1049064100816111</v>
      </c>
      <c r="K61" s="257">
        <v>168590.95</v>
      </c>
      <c r="L61" s="255">
        <v>3.7653037653037652E-2</v>
      </c>
      <c r="M61" s="256">
        <v>926</v>
      </c>
      <c r="N61" s="255">
        <v>3.2000000000000001E-2</v>
      </c>
      <c r="O61" s="255">
        <v>3.5000000000000003E-2</v>
      </c>
      <c r="P61" s="254">
        <f>('[1]Modelo AHP'!$U$37*[1]aux!P10)+('[1]Modelo AHP'!$U$38*[1]aux!R10)+('[1]Modelo AHP'!$U$39*[1]aux!S10)</f>
        <v>7.4567884502772935E-3</v>
      </c>
      <c r="Q61" s="253">
        <f>[1]aux!U10</f>
        <v>7.6475882177717272E-3</v>
      </c>
      <c r="R61" s="254">
        <f>('[1]Modelo AHP'!$U$47*[1]aux!V10)+('[1]Modelo AHP'!$U$48*[1]aux!W10)+('[1]Modelo AHP'!$U$49*[1]aux!X10)</f>
        <v>7.6619408720179942E-3</v>
      </c>
      <c r="S61" s="253">
        <f>[1]aux!Z10</f>
        <v>7.5939082200383555E-3</v>
      </c>
      <c r="T61" s="252">
        <f>('[1]Modelo AHP'!$U$56*[1]aux!AA10)+('[1]Modelo AHP'!$U$57*[1]aux!AB10)+('[1]Modelo AHP'!$U$58*[1]aux!AC10)+('[1]Modelo AHP'!$U$59*[1]aux!AD10)</f>
        <v>7.487080809295275E-3</v>
      </c>
      <c r="U61" s="251">
        <f>('[1]Modelo AHP'!$U$23*[1]aux!AE10)+('[1]Modelo AHP'!$U$24*[1]aux!AF10)+('[1]Modelo AHP'!$U$25*[1]aux!AG10)+('[1]Modelo AHP'!$U$26*[1]aux!AH10)+('[1]Modelo AHP'!$U$27*[1]aux!AI10)</f>
        <v>7.601590643093882E-3</v>
      </c>
    </row>
    <row r="62" spans="1:21" ht="17.25" thickTop="1" thickBot="1">
      <c r="A62" s="260">
        <v>59</v>
      </c>
      <c r="B62" s="259" t="s">
        <v>106</v>
      </c>
      <c r="C62" s="258" t="s">
        <v>109</v>
      </c>
      <c r="D62" s="290">
        <v>4.08</v>
      </c>
      <c r="E62" s="291">
        <v>84.82</v>
      </c>
      <c r="F62" s="292">
        <v>37.236739020231347</v>
      </c>
      <c r="G62" s="293">
        <v>40061.387455529875</v>
      </c>
      <c r="H62" s="290">
        <v>7.54</v>
      </c>
      <c r="I62" s="294">
        <v>8.61</v>
      </c>
      <c r="J62" s="295">
        <v>5.0234978180597514</v>
      </c>
      <c r="K62" s="261">
        <v>82594.48</v>
      </c>
      <c r="L62" s="255">
        <v>4.1506065646934716E-2</v>
      </c>
      <c r="M62" s="256">
        <v>526</v>
      </c>
      <c r="N62" s="255">
        <v>4.2999999999999997E-2</v>
      </c>
      <c r="O62" s="255">
        <v>5.3999999999999999E-2</v>
      </c>
      <c r="P62" s="254">
        <f>('[1]Modelo AHP'!$U$37*[1]aux!P92)+('[1]Modelo AHP'!$U$38*[1]aux!R92)+('[1]Modelo AHP'!$U$39*[1]aux!S92)</f>
        <v>6.4951024903742187E-3</v>
      </c>
      <c r="Q62" s="253">
        <f>[1]aux!U92</f>
        <v>7.6357645268129177E-3</v>
      </c>
      <c r="R62" s="254">
        <f>('[1]Modelo AHP'!$U$47*[1]aux!V92)+('[1]Modelo AHP'!$U$48*[1]aux!W92)+('[1]Modelo AHP'!$U$49*[1]aux!X92)</f>
        <v>8.1471113896083962E-3</v>
      </c>
      <c r="S62" s="253">
        <f>[1]aux!Z92</f>
        <v>7.6441007556698687E-3</v>
      </c>
      <c r="T62" s="252">
        <f>('[1]Modelo AHP'!$U$56*[1]aux!AA92)+('[1]Modelo AHP'!$U$57*[1]aux!AB92)+('[1]Modelo AHP'!$U$58*[1]aux!AC92)+('[1]Modelo AHP'!$U$59*[1]aux!AD92)</f>
        <v>6.6644198812041569E-3</v>
      </c>
      <c r="U62" s="251">
        <f>('[1]Modelo AHP'!$U$23*[1]aux!AE92)+('[1]Modelo AHP'!$U$24*[1]aux!AF92)+('[1]Modelo AHP'!$U$25*[1]aux!AG92)+('[1]Modelo AHP'!$U$26*[1]aux!AH92)+('[1]Modelo AHP'!$U$27*[1]aux!AI92)</f>
        <v>7.5298360227038222E-3</v>
      </c>
    </row>
    <row r="63" spans="1:21" ht="17.25" thickTop="1" thickBot="1">
      <c r="A63" s="260">
        <v>60</v>
      </c>
      <c r="B63" s="259" t="s">
        <v>139</v>
      </c>
      <c r="C63" s="258" t="s">
        <v>145</v>
      </c>
      <c r="D63" s="290">
        <v>10.63</v>
      </c>
      <c r="E63" s="291">
        <v>87.94</v>
      </c>
      <c r="F63" s="292">
        <v>27.963176064441889</v>
      </c>
      <c r="G63" s="293">
        <v>38875.465797749443</v>
      </c>
      <c r="H63" s="290">
        <v>5.73</v>
      </c>
      <c r="I63" s="294">
        <v>7.8650000000000002</v>
      </c>
      <c r="J63" s="295">
        <v>4.4781942315730809</v>
      </c>
      <c r="K63" s="257">
        <v>59955.78</v>
      </c>
      <c r="L63" s="255">
        <v>4.7936085219707054E-2</v>
      </c>
      <c r="M63" s="256">
        <v>826</v>
      </c>
      <c r="N63" s="255">
        <v>6.3E-2</v>
      </c>
      <c r="O63" s="255">
        <v>6.9000000000000006E-2</v>
      </c>
      <c r="P63" s="254">
        <f>('[1]Modelo AHP'!$U$37*[1]aux!P128)+('[1]Modelo AHP'!$U$38*[1]aux!R128)+('[1]Modelo AHP'!$U$39*[1]aux!S128)</f>
        <v>6.9772610174588462E-3</v>
      </c>
      <c r="Q63" s="253">
        <f>[1]aux!U128</f>
        <v>7.6374383521299804E-3</v>
      </c>
      <c r="R63" s="254">
        <f>('[1]Modelo AHP'!$U$47*[1]aux!V128)+('[1]Modelo AHP'!$U$48*[1]aux!W128)+('[1]Modelo AHP'!$U$49*[1]aux!X128)</f>
        <v>7.1568334262889777E-3</v>
      </c>
      <c r="S63" s="253">
        <f>[1]aux!Z128</f>
        <v>7.6573140161258048E-3</v>
      </c>
      <c r="T63" s="252">
        <f>('[1]Modelo AHP'!$U$56*[1]aux!AA128)+('[1]Modelo AHP'!$U$57*[1]aux!AB128)+('[1]Modelo AHP'!$U$58*[1]aux!AC128)+('[1]Modelo AHP'!$U$59*[1]aux!AD128)</f>
        <v>9.3708301711294059E-3</v>
      </c>
      <c r="U63" s="251">
        <f>('[1]Modelo AHP'!$U$23*[1]aux!AE128)+('[1]Modelo AHP'!$U$24*[1]aux!AF128)+('[1]Modelo AHP'!$U$25*[1]aux!AG128)+('[1]Modelo AHP'!$U$26*[1]aux!AH128)+('[1]Modelo AHP'!$U$27*[1]aux!AI128)</f>
        <v>7.5268012271245627E-3</v>
      </c>
    </row>
    <row r="64" spans="1:21" ht="17.25" thickTop="1" thickBot="1">
      <c r="A64" s="260">
        <v>61</v>
      </c>
      <c r="B64" s="259" t="s">
        <v>113</v>
      </c>
      <c r="C64" s="258" t="s">
        <v>325</v>
      </c>
      <c r="D64" s="290">
        <v>9.1999999999999993</v>
      </c>
      <c r="E64" s="291">
        <v>85.39</v>
      </c>
      <c r="F64" s="292">
        <v>34.671205877082961</v>
      </c>
      <c r="G64" s="293">
        <v>34608.856409260581</v>
      </c>
      <c r="H64" s="290">
        <v>7.36</v>
      </c>
      <c r="I64" s="294">
        <v>9.5100000000000016</v>
      </c>
      <c r="J64" s="295">
        <v>3.9481884365881985</v>
      </c>
      <c r="K64" s="261">
        <v>84808.59</v>
      </c>
      <c r="L64" s="255">
        <v>3.5803244162734657E-2</v>
      </c>
      <c r="M64" s="256">
        <v>615</v>
      </c>
      <c r="N64" s="255">
        <v>3.5000000000000003E-2</v>
      </c>
      <c r="O64" s="255">
        <v>4.5999999999999999E-2</v>
      </c>
      <c r="P64" s="254">
        <f>('[1]Modelo AHP'!$U$37*[1]aux!P99)+('[1]Modelo AHP'!$U$38*[1]aux!R99)+('[1]Modelo AHP'!$U$39*[1]aux!S99)</f>
        <v>7.4634992775902444E-3</v>
      </c>
      <c r="Q64" s="253">
        <f>[1]aux!U99</f>
        <v>7.6434603003468935E-3</v>
      </c>
      <c r="R64" s="254">
        <f>('[1]Modelo AHP'!$U$47*[1]aux!V99)+('[1]Modelo AHP'!$U$48*[1]aux!W99)+('[1]Modelo AHP'!$U$49*[1]aux!X99)</f>
        <v>7.6942093792159248E-3</v>
      </c>
      <c r="S64" s="253">
        <f>[1]aux!Z99</f>
        <v>7.6428084724509508E-3</v>
      </c>
      <c r="T64" s="252">
        <f>('[1]Modelo AHP'!$U$56*[1]aux!AA99)+('[1]Modelo AHP'!$U$57*[1]aux!AB99)+('[1]Modelo AHP'!$U$58*[1]aux!AC99)+('[1]Modelo AHP'!$U$59*[1]aux!AD99)</f>
        <v>6.3745039062373214E-3</v>
      </c>
      <c r="U64" s="251">
        <f>('[1]Modelo AHP'!$U$23*[1]aux!AE99)+('[1]Modelo AHP'!$U$24*[1]aux!AF99)+('[1]Modelo AHP'!$U$25*[1]aux!AG99)+('[1]Modelo AHP'!$U$26*[1]aux!AH99)+('[1]Modelo AHP'!$U$27*[1]aux!AI99)</f>
        <v>7.5119227293077894E-3</v>
      </c>
    </row>
    <row r="65" spans="1:21" ht="17.25" thickTop="1" thickBot="1">
      <c r="A65" s="260">
        <v>62</v>
      </c>
      <c r="B65" s="259" t="s">
        <v>17</v>
      </c>
      <c r="C65" s="258" t="s">
        <v>22</v>
      </c>
      <c r="D65" s="290">
        <v>11.6</v>
      </c>
      <c r="E65" s="291">
        <v>84.09</v>
      </c>
      <c r="F65" s="292">
        <v>24.474369794151102</v>
      </c>
      <c r="G65" s="293">
        <v>31866.058945599867</v>
      </c>
      <c r="H65" s="290">
        <v>6.51</v>
      </c>
      <c r="I65" s="294">
        <v>9.6150000000000002</v>
      </c>
      <c r="J65" s="295">
        <v>4.1049064100816111</v>
      </c>
      <c r="K65" s="257">
        <v>106451.1</v>
      </c>
      <c r="L65" s="255">
        <v>3.7653037653037652E-2</v>
      </c>
      <c r="M65" s="256">
        <v>926</v>
      </c>
      <c r="N65" s="255">
        <v>3.2000000000000001E-2</v>
      </c>
      <c r="O65" s="255">
        <v>3.5000000000000003E-2</v>
      </c>
      <c r="P65" s="254">
        <f>('[1]Modelo AHP'!$U$37*[1]aux!P9)+('[1]Modelo AHP'!$U$38*[1]aux!R9)+('[1]Modelo AHP'!$U$39*[1]aux!S9)</f>
        <v>6.7818433525782696E-3</v>
      </c>
      <c r="Q65" s="253">
        <f>[1]aux!U9</f>
        <v>7.6473315205106626E-3</v>
      </c>
      <c r="R65" s="254">
        <f>('[1]Modelo AHP'!$U$47*[1]aux!V9)+('[1]Modelo AHP'!$U$48*[1]aux!W9)+('[1]Modelo AHP'!$U$49*[1]aux!X9)</f>
        <v>7.6924958375708258E-3</v>
      </c>
      <c r="S65" s="253">
        <f>[1]aux!Z9</f>
        <v>7.6301766463500618E-3</v>
      </c>
      <c r="T65" s="252">
        <f>('[1]Modelo AHP'!$U$56*[1]aux!AA9)+('[1]Modelo AHP'!$U$57*[1]aux!AB9)+('[1]Modelo AHP'!$U$58*[1]aux!AC9)+('[1]Modelo AHP'!$U$59*[1]aux!AD9)</f>
        <v>7.487080809295275E-3</v>
      </c>
      <c r="U65" s="251">
        <f>('[1]Modelo AHP'!$U$23*[1]aux!AE9)+('[1]Modelo AHP'!$U$24*[1]aux!AF9)+('[1]Modelo AHP'!$U$25*[1]aux!AG9)+('[1]Modelo AHP'!$U$26*[1]aux!AH9)+('[1]Modelo AHP'!$U$27*[1]aux!AI9)</f>
        <v>7.5020366990519206E-3</v>
      </c>
    </row>
    <row r="66" spans="1:21" ht="17.25" thickTop="1" thickBot="1">
      <c r="A66" s="260">
        <v>63</v>
      </c>
      <c r="B66" s="259" t="s">
        <v>17</v>
      </c>
      <c r="C66" s="258" t="s">
        <v>18</v>
      </c>
      <c r="D66" s="290">
        <v>7.95</v>
      </c>
      <c r="E66" s="291">
        <v>82.99</v>
      </c>
      <c r="F66" s="292">
        <v>25.384969560546374</v>
      </c>
      <c r="G66" s="293">
        <v>35509.212948075772</v>
      </c>
      <c r="H66" s="290">
        <v>7.41</v>
      </c>
      <c r="I66" s="294">
        <v>9.92</v>
      </c>
      <c r="J66" s="295">
        <v>4.1049064100816111</v>
      </c>
      <c r="K66" s="257">
        <v>123877.77</v>
      </c>
      <c r="L66" s="255">
        <v>3.7653037653037652E-2</v>
      </c>
      <c r="M66" s="256">
        <v>926</v>
      </c>
      <c r="N66" s="255">
        <v>3.2000000000000001E-2</v>
      </c>
      <c r="O66" s="255">
        <v>3.5000000000000003E-2</v>
      </c>
      <c r="P66" s="254">
        <f>('[1]Modelo AHP'!$U$37*[1]aux!P5)+('[1]Modelo AHP'!$U$38*[1]aux!R5)+('[1]Modelo AHP'!$U$39*[1]aux!S5)</f>
        <v>5.9755712407886328E-3</v>
      </c>
      <c r="Q66" s="253">
        <f>[1]aux!U5</f>
        <v>7.6421895253684924E-3</v>
      </c>
      <c r="R66" s="254">
        <f>('[1]Modelo AHP'!$U$47*[1]aux!V5)+('[1]Modelo AHP'!$U$48*[1]aux!W5)+('[1]Modelo AHP'!$U$49*[1]aux!X5)</f>
        <v>7.9685550371678439E-3</v>
      </c>
      <c r="S66" s="253">
        <f>[1]aux!Z5</f>
        <v>7.6200054293813465E-3</v>
      </c>
      <c r="T66" s="252">
        <f>('[1]Modelo AHP'!$U$56*[1]aux!AA5)+('[1]Modelo AHP'!$U$57*[1]aux!AB5)+('[1]Modelo AHP'!$U$58*[1]aux!AC5)+('[1]Modelo AHP'!$U$59*[1]aux!AD5)</f>
        <v>7.487080809295275E-3</v>
      </c>
      <c r="U66" s="251">
        <f>('[1]Modelo AHP'!$U$23*[1]aux!AE5)+('[1]Modelo AHP'!$U$24*[1]aux!AF5)+('[1]Modelo AHP'!$U$25*[1]aux!AG5)+('[1]Modelo AHP'!$U$26*[1]aux!AH5)+('[1]Modelo AHP'!$U$27*[1]aux!AI5)</f>
        <v>7.4593952596246019E-3</v>
      </c>
    </row>
    <row r="67" spans="1:21" ht="17.25" thickTop="1" thickBot="1">
      <c r="A67" s="260">
        <v>64</v>
      </c>
      <c r="B67" s="259" t="s">
        <v>17</v>
      </c>
      <c r="C67" s="258" t="s">
        <v>20</v>
      </c>
      <c r="D67" s="290">
        <v>9.9</v>
      </c>
      <c r="E67" s="291">
        <v>82.32</v>
      </c>
      <c r="F67" s="292">
        <v>21.475770925110133</v>
      </c>
      <c r="G67" s="293">
        <v>37426.712734786364</v>
      </c>
      <c r="H67" s="290">
        <v>6.82</v>
      </c>
      <c r="I67" s="294">
        <v>9.32</v>
      </c>
      <c r="J67" s="295">
        <v>4.1049064100816111</v>
      </c>
      <c r="K67" s="257">
        <v>146492.79999999999</v>
      </c>
      <c r="L67" s="255">
        <v>3.7653037653037652E-2</v>
      </c>
      <c r="M67" s="256">
        <v>926</v>
      </c>
      <c r="N67" s="255">
        <v>3.2000000000000001E-2</v>
      </c>
      <c r="O67" s="255">
        <v>3.5000000000000003E-2</v>
      </c>
      <c r="P67" s="254">
        <f>('[1]Modelo AHP'!$U$37*[1]aux!P7)+('[1]Modelo AHP'!$U$38*[1]aux!R7)+('[1]Modelo AHP'!$U$39*[1]aux!S7)</f>
        <v>5.9742213130885135E-3</v>
      </c>
      <c r="Q67" s="253">
        <f>[1]aux!U7</f>
        <v>7.639483141125147E-3</v>
      </c>
      <c r="R67" s="254">
        <f>('[1]Modelo AHP'!$U$47*[1]aux!V7)+('[1]Modelo AHP'!$U$48*[1]aux!W7)+('[1]Modelo AHP'!$U$49*[1]aux!X7)</f>
        <v>7.6367132669736219E-3</v>
      </c>
      <c r="S67" s="253">
        <f>[1]aux!Z7</f>
        <v>7.6068059841124568E-3</v>
      </c>
      <c r="T67" s="252">
        <f>('[1]Modelo AHP'!$U$56*[1]aux!AA7)+('[1]Modelo AHP'!$U$57*[1]aux!AB7)+('[1]Modelo AHP'!$U$58*[1]aux!AC7)+('[1]Modelo AHP'!$U$59*[1]aux!AD7)</f>
        <v>7.487080809295275E-3</v>
      </c>
      <c r="U67" s="251">
        <f>('[1]Modelo AHP'!$U$23*[1]aux!AE7)+('[1]Modelo AHP'!$U$24*[1]aux!AF7)+('[1]Modelo AHP'!$U$25*[1]aux!AG7)+('[1]Modelo AHP'!$U$26*[1]aux!AH7)+('[1]Modelo AHP'!$U$27*[1]aux!AI7)</f>
        <v>7.3439060180310505E-3</v>
      </c>
    </row>
    <row r="68" spans="1:21" ht="17.25" thickTop="1" thickBot="1">
      <c r="A68" s="260">
        <v>65</v>
      </c>
      <c r="B68" s="259" t="s">
        <v>113</v>
      </c>
      <c r="C68" s="258" t="s">
        <v>117</v>
      </c>
      <c r="D68" s="290">
        <v>5.0999999999999996</v>
      </c>
      <c r="E68" s="291">
        <v>83.43</v>
      </c>
      <c r="F68" s="292">
        <v>33.61297926922277</v>
      </c>
      <c r="G68" s="293">
        <v>43132.755061208933</v>
      </c>
      <c r="H68" s="290">
        <v>7.06</v>
      </c>
      <c r="I68" s="294">
        <v>9.3849999999999998</v>
      </c>
      <c r="J68" s="295">
        <v>3.9481884365881985</v>
      </c>
      <c r="K68" s="261">
        <v>94399.38</v>
      </c>
      <c r="L68" s="255">
        <v>3.5803244162734657E-2</v>
      </c>
      <c r="M68" s="256">
        <v>615</v>
      </c>
      <c r="N68" s="255">
        <v>3.5000000000000003E-2</v>
      </c>
      <c r="O68" s="255">
        <v>4.5999999999999999E-2</v>
      </c>
      <c r="P68" s="254">
        <f>('[1]Modelo AHP'!$U$37*[1]aux!P100)+('[1]Modelo AHP'!$U$38*[1]aux!R100)+('[1]Modelo AHP'!$U$39*[1]aux!S100)</f>
        <v>6.2950949918114188E-3</v>
      </c>
      <c r="Q68" s="253">
        <f>[1]aux!U100</f>
        <v>7.6314295584592635E-3</v>
      </c>
      <c r="R68" s="254">
        <f>('[1]Modelo AHP'!$U$47*[1]aux!V100)+('[1]Modelo AHP'!$U$48*[1]aux!W100)+('[1]Modelo AHP'!$U$49*[1]aux!X100)</f>
        <v>7.5933901398567739E-3</v>
      </c>
      <c r="S68" s="253">
        <f>[1]aux!Z100</f>
        <v>7.6372107302551456E-3</v>
      </c>
      <c r="T68" s="252">
        <f>('[1]Modelo AHP'!$U$56*[1]aux!AA100)+('[1]Modelo AHP'!$U$57*[1]aux!AB100)+('[1]Modelo AHP'!$U$58*[1]aux!AC100)+('[1]Modelo AHP'!$U$59*[1]aux!AD100)</f>
        <v>6.3745039062373214E-3</v>
      </c>
      <c r="U68" s="251">
        <f>('[1]Modelo AHP'!$U$23*[1]aux!AE100)+('[1]Modelo AHP'!$U$24*[1]aux!AF100)+('[1]Modelo AHP'!$U$25*[1]aux!AG100)+('[1]Modelo AHP'!$U$26*[1]aux!AH100)+('[1]Modelo AHP'!$U$27*[1]aux!AI100)</f>
        <v>7.2781790880830245E-3</v>
      </c>
    </row>
    <row r="69" spans="1:21" ht="17.25" thickTop="1" thickBot="1">
      <c r="A69" s="260">
        <v>66</v>
      </c>
      <c r="B69" s="259" t="s">
        <v>17</v>
      </c>
      <c r="C69" s="258" t="s">
        <v>21</v>
      </c>
      <c r="D69" s="290">
        <v>9.93</v>
      </c>
      <c r="E69" s="291">
        <v>85.57</v>
      </c>
      <c r="F69" s="292">
        <v>20.913147957432201</v>
      </c>
      <c r="G69" s="293">
        <v>41583.813435128395</v>
      </c>
      <c r="H69" s="290">
        <v>6.25</v>
      </c>
      <c r="I69" s="294">
        <v>9.1449999999999996</v>
      </c>
      <c r="J69" s="295">
        <v>4.1049064100816111</v>
      </c>
      <c r="K69" s="257">
        <v>158262.44</v>
      </c>
      <c r="L69" s="255">
        <v>3.7653037653037652E-2</v>
      </c>
      <c r="M69" s="256">
        <v>926</v>
      </c>
      <c r="N69" s="255">
        <v>3.2000000000000001E-2</v>
      </c>
      <c r="O69" s="255">
        <v>3.5000000000000003E-2</v>
      </c>
      <c r="P69" s="254">
        <f>('[1]Modelo AHP'!$U$37*[1]aux!P8)+('[1]Modelo AHP'!$U$38*[1]aux!R8)+('[1]Modelo AHP'!$U$39*[1]aux!S8)</f>
        <v>5.9105267241636797E-3</v>
      </c>
      <c r="Q69" s="253">
        <f>[1]aux!U8</f>
        <v>7.6336157549009732E-3</v>
      </c>
      <c r="R69" s="254">
        <f>('[1]Modelo AHP'!$U$47*[1]aux!V8)+('[1]Modelo AHP'!$U$48*[1]aux!W8)+('[1]Modelo AHP'!$U$49*[1]aux!X8)</f>
        <v>7.4687268179773354E-3</v>
      </c>
      <c r="S69" s="253">
        <f>[1]aux!Z8</f>
        <v>7.5999365384820713E-3</v>
      </c>
      <c r="T69" s="252">
        <f>('[1]Modelo AHP'!$U$56*[1]aux!AA8)+('[1]Modelo AHP'!$U$57*[1]aux!AB8)+('[1]Modelo AHP'!$U$58*[1]aux!AC8)+('[1]Modelo AHP'!$U$59*[1]aux!AD8)</f>
        <v>7.487080809295275E-3</v>
      </c>
      <c r="U69" s="251">
        <f>('[1]Modelo AHP'!$U$23*[1]aux!AE8)+('[1]Modelo AHP'!$U$24*[1]aux!AF8)+('[1]Modelo AHP'!$U$25*[1]aux!AG8)+('[1]Modelo AHP'!$U$26*[1]aux!AH8)+('[1]Modelo AHP'!$U$27*[1]aux!AI8)</f>
        <v>7.2734618792076383E-3</v>
      </c>
    </row>
    <row r="70" spans="1:21" ht="17.25" thickTop="1" thickBot="1">
      <c r="A70" s="260">
        <v>67</v>
      </c>
      <c r="B70" s="259" t="s">
        <v>147</v>
      </c>
      <c r="C70" s="258" t="s">
        <v>150</v>
      </c>
      <c r="D70" s="290">
        <v>11.45</v>
      </c>
      <c r="E70" s="291">
        <v>84.85</v>
      </c>
      <c r="F70" s="292">
        <v>48.356884653302664</v>
      </c>
      <c r="G70" s="293">
        <v>30892.202490249329</v>
      </c>
      <c r="H70" s="290">
        <v>7.4</v>
      </c>
      <c r="I70" s="294">
        <v>9.254999999999999</v>
      </c>
      <c r="J70" s="295">
        <v>2.8390176496451227</v>
      </c>
      <c r="K70" s="257">
        <v>82836.509999999995</v>
      </c>
      <c r="L70" s="255">
        <v>2.4022988505747127E-2</v>
      </c>
      <c r="M70" s="256">
        <v>80</v>
      </c>
      <c r="N70" s="255">
        <v>2.5999999999999999E-2</v>
      </c>
      <c r="O70" s="255">
        <v>3.1E-2</v>
      </c>
      <c r="P70" s="254">
        <f>('[1]Modelo AHP'!$U$37*[1]aux!P133)+('[1]Modelo AHP'!$U$38*[1]aux!R133)+('[1]Modelo AHP'!$U$39*[1]aux!S133)</f>
        <v>9.7595661182733121E-3</v>
      </c>
      <c r="Q70" s="253">
        <f>[1]aux!U133</f>
        <v>7.648706034231241E-3</v>
      </c>
      <c r="R70" s="254">
        <f>('[1]Modelo AHP'!$U$47*[1]aux!V133)+('[1]Modelo AHP'!$U$48*[1]aux!W133)+('[1]Modelo AHP'!$U$49*[1]aux!X133)</f>
        <v>6.8211608170909233E-3</v>
      </c>
      <c r="S70" s="253">
        <f>[1]aux!Z133</f>
        <v>7.6439594929017703E-3</v>
      </c>
      <c r="T70" s="252">
        <f>('[1]Modelo AHP'!$U$56*[1]aux!AA133)+('[1]Modelo AHP'!$U$57*[1]aux!AB133)+('[1]Modelo AHP'!$U$58*[1]aux!AC133)+('[1]Modelo AHP'!$U$59*[1]aux!AD133)</f>
        <v>2.8897023671300669E-3</v>
      </c>
      <c r="U70" s="251">
        <f>('[1]Modelo AHP'!$U$23*[1]aux!AE133)+('[1]Modelo AHP'!$U$24*[1]aux!AF133)+('[1]Modelo AHP'!$U$25*[1]aux!AG133)+('[1]Modelo AHP'!$U$26*[1]aux!AH133)+('[1]Modelo AHP'!$U$27*[1]aux!AI133)</f>
        <v>7.2722948143916456E-3</v>
      </c>
    </row>
    <row r="71" spans="1:21" ht="17.25" thickTop="1" thickBot="1">
      <c r="A71" s="260">
        <v>68</v>
      </c>
      <c r="B71" s="259" t="s">
        <v>62</v>
      </c>
      <c r="C71" s="258" t="s">
        <v>321</v>
      </c>
      <c r="D71" s="290">
        <v>8.34</v>
      </c>
      <c r="E71" s="291">
        <v>85.53</v>
      </c>
      <c r="F71" s="292">
        <v>43.074878849460681</v>
      </c>
      <c r="G71" s="293">
        <v>34259.867765766263</v>
      </c>
      <c r="H71" s="290">
        <v>7.11</v>
      </c>
      <c r="I71" s="294">
        <v>9.1549999999999994</v>
      </c>
      <c r="J71" s="295">
        <v>3.1354236157438291</v>
      </c>
      <c r="K71" s="257">
        <v>75033.09</v>
      </c>
      <c r="L71" s="255">
        <v>2.3938872821074025E-2</v>
      </c>
      <c r="M71" s="256">
        <v>498</v>
      </c>
      <c r="N71" s="255">
        <v>2.9000000000000001E-2</v>
      </c>
      <c r="O71" s="255">
        <v>3.4000000000000002E-2</v>
      </c>
      <c r="P71" s="254">
        <f>('[1]Modelo AHP'!$U$37*[1]aux!P51)+('[1]Modelo AHP'!$U$38*[1]aux!R51)+('[1]Modelo AHP'!$U$39*[1]aux!S51)</f>
        <v>8.3075385807852894E-3</v>
      </c>
      <c r="Q71" s="253">
        <f>[1]aux!U51</f>
        <v>7.6439528674764473E-3</v>
      </c>
      <c r="R71" s="254">
        <f>('[1]Modelo AHP'!$U$47*[1]aux!V51)+('[1]Modelo AHP'!$U$48*[1]aux!W51)+('[1]Modelo AHP'!$U$49*[1]aux!X51)</f>
        <v>6.94107945434542E-3</v>
      </c>
      <c r="S71" s="253">
        <f>[1]aux!Z51</f>
        <v>7.6485140221329998E-3</v>
      </c>
      <c r="T71" s="252">
        <f>('[1]Modelo AHP'!$U$56*[1]aux!AA51)+('[1]Modelo AHP'!$U$57*[1]aux!AB51)+('[1]Modelo AHP'!$U$58*[1]aux!AC51)+('[1]Modelo AHP'!$U$59*[1]aux!AD51)</f>
        <v>4.951918362780563E-3</v>
      </c>
      <c r="U71" s="251">
        <f>('[1]Modelo AHP'!$U$23*[1]aux!AE51)+('[1]Modelo AHP'!$U$24*[1]aux!AF51)+('[1]Modelo AHP'!$U$25*[1]aux!AG51)+('[1]Modelo AHP'!$U$26*[1]aux!AH51)+('[1]Modelo AHP'!$U$27*[1]aux!AI51)</f>
        <v>7.2628233830312134E-3</v>
      </c>
    </row>
    <row r="72" spans="1:21" ht="17.25" thickTop="1" thickBot="1">
      <c r="A72" s="260">
        <v>69</v>
      </c>
      <c r="B72" s="259" t="s">
        <v>24</v>
      </c>
      <c r="C72" s="258" t="s">
        <v>317</v>
      </c>
      <c r="D72" s="290">
        <v>10.029999999999999</v>
      </c>
      <c r="E72" s="291">
        <v>86.97</v>
      </c>
      <c r="F72" s="292">
        <v>37.771591115414878</v>
      </c>
      <c r="G72" s="293">
        <v>32349.243225554786</v>
      </c>
      <c r="H72" s="290">
        <v>7.25</v>
      </c>
      <c r="I72" s="294">
        <v>9.3249999999999993</v>
      </c>
      <c r="J72" s="295">
        <v>3.3840580393784729</v>
      </c>
      <c r="K72" s="257">
        <v>78861.740000000005</v>
      </c>
      <c r="L72" s="255">
        <v>3.275315388247993E-2</v>
      </c>
      <c r="M72" s="256">
        <v>276</v>
      </c>
      <c r="N72" s="255">
        <v>2.9000000000000001E-2</v>
      </c>
      <c r="O72" s="255">
        <v>3.7037037037037035E-2</v>
      </c>
      <c r="P72" s="254">
        <f>('[1]Modelo AHP'!$U$37*[1]aux!P13)+('[1]Modelo AHP'!$U$38*[1]aux!R13)+('[1]Modelo AHP'!$U$39*[1]aux!S13)</f>
        <v>8.0643824580338367E-3</v>
      </c>
      <c r="Q72" s="253">
        <f>[1]aux!U13</f>
        <v>7.6466495479070853E-3</v>
      </c>
      <c r="R72" s="254">
        <f>('[1]Modelo AHP'!$U$47*[1]aux!V13)+('[1]Modelo AHP'!$U$48*[1]aux!W13)+('[1]Modelo AHP'!$U$49*[1]aux!X13)</f>
        <v>7.2059926104473086E-3</v>
      </c>
      <c r="S72" s="253">
        <f>[1]aux!Z13</f>
        <v>7.6462793995776138E-3</v>
      </c>
      <c r="T72" s="252">
        <f>('[1]Modelo AHP'!$U$56*[1]aux!AA13)+('[1]Modelo AHP'!$U$57*[1]aux!AB13)+('[1]Modelo AHP'!$U$58*[1]aux!AC13)+('[1]Modelo AHP'!$U$59*[1]aux!AD13)</f>
        <v>4.3148232686282583E-3</v>
      </c>
      <c r="U72" s="251">
        <f>('[1]Modelo AHP'!$U$23*[1]aux!AE13)+('[1]Modelo AHP'!$U$24*[1]aux!AF13)+('[1]Modelo AHP'!$U$25*[1]aux!AG13)+('[1]Modelo AHP'!$U$26*[1]aux!AH13)+('[1]Modelo AHP'!$U$27*[1]aux!AI13)</f>
        <v>7.253829967229195E-3</v>
      </c>
    </row>
    <row r="73" spans="1:21" ht="17.25" thickTop="1" thickBot="1">
      <c r="A73" s="260">
        <v>70</v>
      </c>
      <c r="B73" s="259" t="s">
        <v>106</v>
      </c>
      <c r="C73" s="258" t="s">
        <v>108</v>
      </c>
      <c r="D73" s="290">
        <v>2.38</v>
      </c>
      <c r="E73" s="291">
        <v>83.59</v>
      </c>
      <c r="F73" s="292">
        <v>28.527607361963192</v>
      </c>
      <c r="G73" s="293">
        <v>45263.193291016774</v>
      </c>
      <c r="H73" s="290">
        <v>7.83</v>
      </c>
      <c r="I73" s="294">
        <v>8.0500000000000007</v>
      </c>
      <c r="J73" s="295">
        <v>5.0234978180597514</v>
      </c>
      <c r="K73" s="261">
        <v>97105.73</v>
      </c>
      <c r="L73" s="255">
        <v>4.1506065646934716E-2</v>
      </c>
      <c r="M73" s="256">
        <v>526</v>
      </c>
      <c r="N73" s="255">
        <v>4.2999999999999997E-2</v>
      </c>
      <c r="O73" s="255">
        <v>5.3999999999999999E-2</v>
      </c>
      <c r="P73" s="254">
        <f>('[1]Modelo AHP'!$U$37*[1]aux!P91)+('[1]Modelo AHP'!$U$38*[1]aux!R91)+('[1]Modelo AHP'!$U$39*[1]aux!S91)</f>
        <v>4.9663757627127596E-3</v>
      </c>
      <c r="Q73" s="253">
        <f>[1]aux!U91</f>
        <v>7.6284226301161513E-3</v>
      </c>
      <c r="R73" s="254">
        <f>('[1]Modelo AHP'!$U$47*[1]aux!V91)+('[1]Modelo AHP'!$U$48*[1]aux!W91)+('[1]Modelo AHP'!$U$49*[1]aux!X91)</f>
        <v>7.9878129686256679E-3</v>
      </c>
      <c r="S73" s="253">
        <f>[1]aux!Z91</f>
        <v>7.6356311471768353E-3</v>
      </c>
      <c r="T73" s="252">
        <f>('[1]Modelo AHP'!$U$56*[1]aux!AA91)+('[1]Modelo AHP'!$U$57*[1]aux!AB91)+('[1]Modelo AHP'!$U$58*[1]aux!AC91)+('[1]Modelo AHP'!$U$59*[1]aux!AD91)</f>
        <v>6.6644198812041569E-3</v>
      </c>
      <c r="U73" s="251">
        <f>('[1]Modelo AHP'!$U$23*[1]aux!AE91)+('[1]Modelo AHP'!$U$24*[1]aux!AF91)+('[1]Modelo AHP'!$U$25*[1]aux!AG91)+('[1]Modelo AHP'!$U$26*[1]aux!AH91)+('[1]Modelo AHP'!$U$27*[1]aux!AI91)</f>
        <v>7.217273033949448E-3</v>
      </c>
    </row>
    <row r="74" spans="1:21" ht="17.25" thickTop="1" thickBot="1">
      <c r="A74" s="260">
        <v>71</v>
      </c>
      <c r="B74" s="259" t="s">
        <v>122</v>
      </c>
      <c r="C74" s="258" t="s">
        <v>127</v>
      </c>
      <c r="D74" s="290">
        <v>6.11</v>
      </c>
      <c r="E74" s="291">
        <v>83.33</v>
      </c>
      <c r="F74" s="292">
        <v>38.28662527269676</v>
      </c>
      <c r="G74" s="293">
        <v>37312.650932657307</v>
      </c>
      <c r="H74" s="290">
        <v>7.66</v>
      </c>
      <c r="I74" s="294">
        <v>9.27</v>
      </c>
      <c r="J74" s="295">
        <v>3.3673435856992637</v>
      </c>
      <c r="K74" s="257">
        <v>104698.61</v>
      </c>
      <c r="L74" s="255">
        <v>3.2195456102294781E-2</v>
      </c>
      <c r="M74" s="256">
        <v>415</v>
      </c>
      <c r="N74" s="255">
        <v>3.5000000000000003E-2</v>
      </c>
      <c r="O74" s="255">
        <v>0.04</v>
      </c>
      <c r="P74" s="254">
        <f>('[1]Modelo AHP'!$U$37*[1]aux!P109)+('[1]Modelo AHP'!$U$38*[1]aux!R109)+('[1]Modelo AHP'!$U$39*[1]aux!S109)</f>
        <v>7.1401850416209266E-3</v>
      </c>
      <c r="Q74" s="253">
        <f>[1]aux!U109</f>
        <v>7.6396441294424283E-3</v>
      </c>
      <c r="R74" s="254">
        <f>('[1]Modelo AHP'!$U$47*[1]aux!V109)+('[1]Modelo AHP'!$U$48*[1]aux!W109)+('[1]Modelo AHP'!$U$49*[1]aux!X109)</f>
        <v>7.2467973067454946E-3</v>
      </c>
      <c r="S74" s="253">
        <f>[1]aux!Z109</f>
        <v>7.6311995013203749E-3</v>
      </c>
      <c r="T74" s="252">
        <f>('[1]Modelo AHP'!$U$56*[1]aux!AA109)+('[1]Modelo AHP'!$U$57*[1]aux!AB109)+('[1]Modelo AHP'!$U$58*[1]aux!AC109)+('[1]Modelo AHP'!$U$59*[1]aux!AD109)</f>
        <v>5.2314312249206515E-3</v>
      </c>
      <c r="U74" s="251">
        <f>('[1]Modelo AHP'!$U$23*[1]aux!AE109)+('[1]Modelo AHP'!$U$24*[1]aux!AF109)+('[1]Modelo AHP'!$U$25*[1]aux!AG109)+('[1]Modelo AHP'!$U$26*[1]aux!AH109)+('[1]Modelo AHP'!$U$27*[1]aux!AI109)</f>
        <v>7.1959576408934644E-3</v>
      </c>
    </row>
    <row r="75" spans="1:21" ht="17.25" thickTop="1" thickBot="1">
      <c r="A75" s="260">
        <v>72</v>
      </c>
      <c r="B75" s="259" t="s">
        <v>139</v>
      </c>
      <c r="C75" s="258" t="s">
        <v>331</v>
      </c>
      <c r="D75" s="290">
        <v>4.2300000000000004</v>
      </c>
      <c r="E75" s="291">
        <v>85.78</v>
      </c>
      <c r="F75" s="292">
        <v>25.364900586139523</v>
      </c>
      <c r="G75" s="293">
        <v>54991.197828187956</v>
      </c>
      <c r="H75" s="290">
        <v>5.88</v>
      </c>
      <c r="I75" s="294">
        <v>7.6449999999999996</v>
      </c>
      <c r="J75" s="295">
        <v>4.4781942315730809</v>
      </c>
      <c r="K75" s="257">
        <v>123056.23</v>
      </c>
      <c r="L75" s="255">
        <v>4.7936085219707054E-2</v>
      </c>
      <c r="M75" s="256">
        <v>826</v>
      </c>
      <c r="N75" s="255">
        <v>6.3E-2</v>
      </c>
      <c r="O75" s="255">
        <v>6.9000000000000006E-2</v>
      </c>
      <c r="P75" s="254">
        <f>('[1]Modelo AHP'!$U$37*[1]aux!P130)+('[1]Modelo AHP'!$U$38*[1]aux!R130)+('[1]Modelo AHP'!$U$39*[1]aux!S130)</f>
        <v>5.0338453135693488E-3</v>
      </c>
      <c r="Q75" s="253">
        <f>[1]aux!U130</f>
        <v>7.614692397455344E-3</v>
      </c>
      <c r="R75" s="254">
        <f>('[1]Modelo AHP'!$U$47*[1]aux!V130)+('[1]Modelo AHP'!$U$48*[1]aux!W130)+('[1]Modelo AHP'!$U$49*[1]aux!X130)</f>
        <v>7.1007061678153849E-3</v>
      </c>
      <c r="S75" s="253">
        <f>[1]aux!Z130</f>
        <v>7.6204849278505597E-3</v>
      </c>
      <c r="T75" s="252">
        <f>('[1]Modelo AHP'!$U$56*[1]aux!AA130)+('[1]Modelo AHP'!$U$57*[1]aux!AB130)+('[1]Modelo AHP'!$U$58*[1]aux!AC130)+('[1]Modelo AHP'!$U$59*[1]aux!AD130)</f>
        <v>9.3708301711294059E-3</v>
      </c>
      <c r="U75" s="251">
        <f>('[1]Modelo AHP'!$U$23*[1]aux!AE130)+('[1]Modelo AHP'!$U$24*[1]aux!AF130)+('[1]Modelo AHP'!$U$25*[1]aux!AG130)+('[1]Modelo AHP'!$U$26*[1]aux!AH130)+('[1]Modelo AHP'!$U$27*[1]aux!AI130)</f>
        <v>7.1731882271869043E-3</v>
      </c>
    </row>
    <row r="76" spans="1:21" ht="17.25" thickTop="1" thickBot="1">
      <c r="A76" s="260">
        <v>73</v>
      </c>
      <c r="B76" s="259" t="s">
        <v>48</v>
      </c>
      <c r="C76" s="258" t="s">
        <v>50</v>
      </c>
      <c r="D76" s="290">
        <v>11.01</v>
      </c>
      <c r="E76" s="291">
        <v>85.56</v>
      </c>
      <c r="F76" s="292">
        <v>26.475160766023603</v>
      </c>
      <c r="G76" s="293">
        <v>44415.683716413318</v>
      </c>
      <c r="H76" s="290">
        <v>5.47</v>
      </c>
      <c r="I76" s="294">
        <v>7.8699999999999992</v>
      </c>
      <c r="J76" s="295">
        <v>3.9123004763116751</v>
      </c>
      <c r="K76" s="257">
        <v>115696.81</v>
      </c>
      <c r="L76" s="255">
        <v>2.6796828932713096E-2</v>
      </c>
      <c r="M76" s="256">
        <v>900</v>
      </c>
      <c r="N76" s="255">
        <v>3.6999999999999998E-2</v>
      </c>
      <c r="O76" s="255">
        <v>4.5993579243923215E-2</v>
      </c>
      <c r="P76" s="254">
        <f>('[1]Modelo AHP'!$U$37*[1]aux!P37)+('[1]Modelo AHP'!$U$38*[1]aux!R37)+('[1]Modelo AHP'!$U$39*[1]aux!S37)</f>
        <v>6.8854536949566484E-3</v>
      </c>
      <c r="Q76" s="253">
        <f>[1]aux!U37</f>
        <v>7.6296188161990323E-3</v>
      </c>
      <c r="R76" s="254">
        <f>('[1]Modelo AHP'!$U$47*[1]aux!V37)+('[1]Modelo AHP'!$U$48*[1]aux!W37)+('[1]Modelo AHP'!$U$49*[1]aux!X37)</f>
        <v>6.7121838000243818E-3</v>
      </c>
      <c r="S76" s="253">
        <f>[1]aux!Z37</f>
        <v>7.6247803128887742E-3</v>
      </c>
      <c r="T76" s="252">
        <f>('[1]Modelo AHP'!$U$56*[1]aux!AA37)+('[1]Modelo AHP'!$U$57*[1]aux!AB37)+('[1]Modelo AHP'!$U$58*[1]aux!AC37)+('[1]Modelo AHP'!$U$59*[1]aux!AD37)</f>
        <v>7.4332302313602303E-3</v>
      </c>
      <c r="U76" s="251">
        <f>('[1]Modelo AHP'!$U$23*[1]aux!AE37)+('[1]Modelo AHP'!$U$24*[1]aux!AF37)+('[1]Modelo AHP'!$U$25*[1]aux!AG37)+('[1]Modelo AHP'!$U$26*[1]aux!AH37)+('[1]Modelo AHP'!$U$27*[1]aux!AI37)</f>
        <v>7.1731684480426019E-3</v>
      </c>
    </row>
    <row r="77" spans="1:21" ht="17.25" thickTop="1" thickBot="1">
      <c r="A77" s="260">
        <v>74</v>
      </c>
      <c r="B77" s="259" t="s">
        <v>139</v>
      </c>
      <c r="C77" s="258" t="s">
        <v>144</v>
      </c>
      <c r="D77" s="290">
        <v>2.98</v>
      </c>
      <c r="E77" s="291">
        <v>85.68</v>
      </c>
      <c r="F77" s="292">
        <v>31.080412185573504</v>
      </c>
      <c r="G77" s="293">
        <v>44105.511819772386</v>
      </c>
      <c r="H77" s="290">
        <v>5.82</v>
      </c>
      <c r="I77" s="294">
        <v>6.8</v>
      </c>
      <c r="J77" s="295">
        <v>4.4781942315730809</v>
      </c>
      <c r="K77" s="257">
        <v>80856.09</v>
      </c>
      <c r="L77" s="255">
        <v>4.7936085219707054E-2</v>
      </c>
      <c r="M77" s="256">
        <v>826</v>
      </c>
      <c r="N77" s="255">
        <v>6.3E-2</v>
      </c>
      <c r="O77" s="255">
        <v>6.9000000000000006E-2</v>
      </c>
      <c r="P77" s="254">
        <f>('[1]Modelo AHP'!$U$37*[1]aux!P127)+('[1]Modelo AHP'!$U$38*[1]aux!R127)+('[1]Modelo AHP'!$U$39*[1]aux!S127)</f>
        <v>5.4400244544040629E-3</v>
      </c>
      <c r="Q77" s="253">
        <f>[1]aux!U127</f>
        <v>7.6300565968650926E-3</v>
      </c>
      <c r="R77" s="254">
        <f>('[1]Modelo AHP'!$U$47*[1]aux!V127)+('[1]Modelo AHP'!$U$48*[1]aux!W127)+('[1]Modelo AHP'!$U$49*[1]aux!X127)</f>
        <v>6.7713025320299347E-3</v>
      </c>
      <c r="S77" s="253">
        <f>[1]aux!Z127</f>
        <v>7.6451153810610786E-3</v>
      </c>
      <c r="T77" s="252">
        <f>('[1]Modelo AHP'!$U$56*[1]aux!AA127)+('[1]Modelo AHP'!$U$57*[1]aux!AB127)+('[1]Modelo AHP'!$U$58*[1]aux!AC127)+('[1]Modelo AHP'!$U$59*[1]aux!AD127)</f>
        <v>9.3708301711294059E-3</v>
      </c>
      <c r="U77" s="251">
        <f>('[1]Modelo AHP'!$U$23*[1]aux!AE127)+('[1]Modelo AHP'!$U$24*[1]aux!AF127)+('[1]Modelo AHP'!$U$25*[1]aux!AG127)+('[1]Modelo AHP'!$U$26*[1]aux!AH127)+('[1]Modelo AHP'!$U$27*[1]aux!AI127)</f>
        <v>7.1352155183175281E-3</v>
      </c>
    </row>
    <row r="78" spans="1:21" ht="17.25" thickTop="1" thickBot="1">
      <c r="A78" s="260">
        <v>75</v>
      </c>
      <c r="B78" s="259" t="s">
        <v>137</v>
      </c>
      <c r="C78" s="258" t="s">
        <v>329</v>
      </c>
      <c r="D78" s="290">
        <v>1.8</v>
      </c>
      <c r="E78" s="291">
        <v>84.8</v>
      </c>
      <c r="F78" s="292">
        <v>23.127373144632379</v>
      </c>
      <c r="G78" s="293">
        <v>40053.400582349939</v>
      </c>
      <c r="H78" s="290">
        <v>5.64</v>
      </c>
      <c r="I78" s="294">
        <v>6.0049999999999999</v>
      </c>
      <c r="J78" s="295">
        <v>5.7942098619650642</v>
      </c>
      <c r="K78" s="257">
        <v>77033.42</v>
      </c>
      <c r="L78" s="255">
        <v>6.2643898695318501E-2</v>
      </c>
      <c r="M78" s="256">
        <v>715</v>
      </c>
      <c r="N78" s="255">
        <v>6.2E-2</v>
      </c>
      <c r="O78" s="255">
        <v>7.0000000000000007E-2</v>
      </c>
      <c r="P78" s="254">
        <f>('[1]Modelo AHP'!$U$37*[1]aux!P121)+('[1]Modelo AHP'!$U$38*[1]aux!R121)+('[1]Modelo AHP'!$U$39*[1]aux!S121)</f>
        <v>4.1380029878022775E-3</v>
      </c>
      <c r="Q78" s="253">
        <f>[1]aux!U121</f>
        <v>7.6357757995900409E-3</v>
      </c>
      <c r="R78" s="254">
        <f>('[1]Modelo AHP'!$U$47*[1]aux!V121)+('[1]Modelo AHP'!$U$48*[1]aux!W121)+('[1]Modelo AHP'!$U$49*[1]aux!X121)</f>
        <v>7.3695355520479178E-3</v>
      </c>
      <c r="S78" s="253">
        <f>[1]aux!Z121</f>
        <v>7.6473465133410721E-3</v>
      </c>
      <c r="T78" s="252">
        <f>('[1]Modelo AHP'!$U$56*[1]aux!AA121)+('[1]Modelo AHP'!$U$57*[1]aux!AB121)+('[1]Modelo AHP'!$U$58*[1]aux!AC121)+('[1]Modelo AHP'!$U$59*[1]aux!AD121)</f>
        <v>9.349748942634975E-3</v>
      </c>
      <c r="U78" s="251">
        <f>('[1]Modelo AHP'!$U$23*[1]aux!AE121)+('[1]Modelo AHP'!$U$24*[1]aux!AF121)+('[1]Modelo AHP'!$U$25*[1]aux!AG121)+('[1]Modelo AHP'!$U$26*[1]aux!AH121)+('[1]Modelo AHP'!$U$27*[1]aux!AI121)</f>
        <v>7.1223985424912883E-3</v>
      </c>
    </row>
    <row r="79" spans="1:21" ht="17.25" thickTop="1" thickBot="1">
      <c r="A79" s="260">
        <v>76</v>
      </c>
      <c r="B79" s="259" t="s">
        <v>48</v>
      </c>
      <c r="C79" s="258" t="s">
        <v>51</v>
      </c>
      <c r="D79" s="290">
        <v>10.78</v>
      </c>
      <c r="E79" s="291">
        <v>85.62</v>
      </c>
      <c r="F79" s="292">
        <v>25.150435239820062</v>
      </c>
      <c r="G79" s="293">
        <v>46595.922461094349</v>
      </c>
      <c r="H79" s="290">
        <v>5.42</v>
      </c>
      <c r="I79" s="294">
        <v>7.73</v>
      </c>
      <c r="J79" s="295">
        <v>3.9123004763116751</v>
      </c>
      <c r="K79" s="257">
        <v>114452.2</v>
      </c>
      <c r="L79" s="255">
        <v>2.6796828932713096E-2</v>
      </c>
      <c r="M79" s="256">
        <v>900</v>
      </c>
      <c r="N79" s="255">
        <v>3.6999999999999998E-2</v>
      </c>
      <c r="O79" s="255">
        <v>4.5993579243923215E-2</v>
      </c>
      <c r="P79" s="254">
        <f>('[1]Modelo AHP'!$U$37*[1]aux!P38)+('[1]Modelo AHP'!$U$38*[1]aux!R38)+('[1]Modelo AHP'!$U$39*[1]aux!S38)</f>
        <v>6.6601204615524502E-3</v>
      </c>
      <c r="Q79" s="253">
        <f>[1]aux!U38</f>
        <v>7.6265415987587862E-3</v>
      </c>
      <c r="R79" s="254">
        <f>('[1]Modelo AHP'!$U$47*[1]aux!V38)+('[1]Modelo AHP'!$U$48*[1]aux!W38)+('[1]Modelo AHP'!$U$49*[1]aux!X38)</f>
        <v>6.6504402584323628E-3</v>
      </c>
      <c r="S79" s="253">
        <f>[1]aux!Z38</f>
        <v>7.62550673958713E-3</v>
      </c>
      <c r="T79" s="252">
        <f>('[1]Modelo AHP'!$U$56*[1]aux!AA38)+('[1]Modelo AHP'!$U$57*[1]aux!AB38)+('[1]Modelo AHP'!$U$58*[1]aux!AC38)+('[1]Modelo AHP'!$U$59*[1]aux!AD38)</f>
        <v>7.4332302313602303E-3</v>
      </c>
      <c r="U79" s="251">
        <f>('[1]Modelo AHP'!$U$23*[1]aux!AE38)+('[1]Modelo AHP'!$U$24*[1]aux!AF38)+('[1]Modelo AHP'!$U$25*[1]aux!AG38)+('[1]Modelo AHP'!$U$26*[1]aux!AH38)+('[1]Modelo AHP'!$U$27*[1]aux!AI38)</f>
        <v>7.1135261901628371E-3</v>
      </c>
    </row>
    <row r="80" spans="1:21" ht="17.25" thickTop="1" thickBot="1">
      <c r="A80" s="260">
        <v>77</v>
      </c>
      <c r="B80" s="259" t="s">
        <v>24</v>
      </c>
      <c r="C80" s="258" t="s">
        <v>27</v>
      </c>
      <c r="D80" s="290">
        <v>10.09</v>
      </c>
      <c r="E80" s="291">
        <v>85.32</v>
      </c>
      <c r="F80" s="292">
        <v>30.906478821021409</v>
      </c>
      <c r="G80" s="293">
        <v>34649.633461765203</v>
      </c>
      <c r="H80" s="290">
        <v>7.01</v>
      </c>
      <c r="I80" s="294">
        <v>9.4050000000000011</v>
      </c>
      <c r="J80" s="295">
        <v>3.3840580393784729</v>
      </c>
      <c r="K80" s="257">
        <v>81504.509999999995</v>
      </c>
      <c r="L80" s="255">
        <v>3.275315388247993E-2</v>
      </c>
      <c r="M80" s="256">
        <v>276</v>
      </c>
      <c r="N80" s="255">
        <v>2.9000000000000001E-2</v>
      </c>
      <c r="O80" s="255">
        <v>3.7037037037037035E-2</v>
      </c>
      <c r="P80" s="254">
        <f>('[1]Modelo AHP'!$U$37*[1]aux!P16)+('[1]Modelo AHP'!$U$38*[1]aux!R16)+('[1]Modelo AHP'!$U$39*[1]aux!S16)</f>
        <v>7.2127860539417821E-3</v>
      </c>
      <c r="Q80" s="253">
        <f>[1]aux!U16</f>
        <v>7.6434027470824008E-3</v>
      </c>
      <c r="R80" s="254">
        <f>('[1]Modelo AHP'!$U$47*[1]aux!V16)+('[1]Modelo AHP'!$U$48*[1]aux!W16)+('[1]Modelo AHP'!$U$49*[1]aux!X16)</f>
        <v>7.1932191236239538E-3</v>
      </c>
      <c r="S80" s="253">
        <f>[1]aux!Z16</f>
        <v>7.6447369254808188E-3</v>
      </c>
      <c r="T80" s="252">
        <f>('[1]Modelo AHP'!$U$56*[1]aux!AA16)+('[1]Modelo AHP'!$U$57*[1]aux!AB16)+('[1]Modelo AHP'!$U$58*[1]aux!AC16)+('[1]Modelo AHP'!$U$59*[1]aux!AD16)</f>
        <v>4.3148232686282583E-3</v>
      </c>
      <c r="U80" s="251">
        <f>('[1]Modelo AHP'!$U$23*[1]aux!AE16)+('[1]Modelo AHP'!$U$24*[1]aux!AF16)+('[1]Modelo AHP'!$U$25*[1]aux!AG16)+('[1]Modelo AHP'!$U$26*[1]aux!AH16)+('[1]Modelo AHP'!$U$27*[1]aux!AI16)</f>
        <v>7.1061829173812152E-3</v>
      </c>
    </row>
    <row r="81" spans="1:21" ht="17.25" thickTop="1" thickBot="1">
      <c r="A81" s="260">
        <v>78</v>
      </c>
      <c r="B81" s="259" t="s">
        <v>122</v>
      </c>
      <c r="C81" s="258" t="s">
        <v>125</v>
      </c>
      <c r="D81" s="290">
        <v>5.22</v>
      </c>
      <c r="E81" s="291">
        <v>85.72</v>
      </c>
      <c r="F81" s="292">
        <v>39.104789407391479</v>
      </c>
      <c r="G81" s="293">
        <v>37404.47490222373</v>
      </c>
      <c r="H81" s="290">
        <v>6.98</v>
      </c>
      <c r="I81" s="294">
        <v>8.66</v>
      </c>
      <c r="J81" s="295">
        <v>3.3673435856992637</v>
      </c>
      <c r="K81" s="257">
        <v>93174.45</v>
      </c>
      <c r="L81" s="255">
        <v>3.2195456102294781E-2</v>
      </c>
      <c r="M81" s="256">
        <v>415</v>
      </c>
      <c r="N81" s="255">
        <v>3.5000000000000003E-2</v>
      </c>
      <c r="O81" s="255">
        <v>0.04</v>
      </c>
      <c r="P81" s="254">
        <f>('[1]Modelo AHP'!$U$37*[1]aux!P107)+('[1]Modelo AHP'!$U$38*[1]aux!R107)+('[1]Modelo AHP'!$U$39*[1]aux!S107)</f>
        <v>7.0186760622281278E-3</v>
      </c>
      <c r="Q81" s="253">
        <f>[1]aux!U107</f>
        <v>7.6395145278924737E-3</v>
      </c>
      <c r="R81" s="254">
        <f>('[1]Modelo AHP'!$U$47*[1]aux!V107)+('[1]Modelo AHP'!$U$48*[1]aux!W107)+('[1]Modelo AHP'!$U$49*[1]aux!X107)</f>
        <v>6.8950806112894093E-3</v>
      </c>
      <c r="S81" s="253">
        <f>[1]aux!Z107</f>
        <v>7.6379256705622423E-3</v>
      </c>
      <c r="T81" s="252">
        <f>('[1]Modelo AHP'!$U$56*[1]aux!AA107)+('[1]Modelo AHP'!$U$57*[1]aux!AB107)+('[1]Modelo AHP'!$U$58*[1]aux!AC107)+('[1]Modelo AHP'!$U$59*[1]aux!AD107)</f>
        <v>5.2314312249206515E-3</v>
      </c>
      <c r="U81" s="251">
        <f>('[1]Modelo AHP'!$U$23*[1]aux!AE107)+('[1]Modelo AHP'!$U$24*[1]aux!AF107)+('[1]Modelo AHP'!$U$25*[1]aux!AG107)+('[1]Modelo AHP'!$U$26*[1]aux!AH107)+('[1]Modelo AHP'!$U$27*[1]aux!AI107)</f>
        <v>7.0559526504802138E-3</v>
      </c>
    </row>
    <row r="82" spans="1:21" ht="17.25" thickTop="1" thickBot="1">
      <c r="A82" s="260">
        <v>79</v>
      </c>
      <c r="B82" s="259" t="s">
        <v>62</v>
      </c>
      <c r="C82" s="258" t="s">
        <v>63</v>
      </c>
      <c r="D82" s="290">
        <v>2.3199999999999998</v>
      </c>
      <c r="E82" s="291">
        <v>83.23</v>
      </c>
      <c r="F82" s="292">
        <v>46.390658174097666</v>
      </c>
      <c r="G82" s="293">
        <v>40657.193469354628</v>
      </c>
      <c r="H82" s="290">
        <v>6.59</v>
      </c>
      <c r="I82" s="294">
        <v>8.6549999999999994</v>
      </c>
      <c r="J82" s="295">
        <v>3.1354236157438291</v>
      </c>
      <c r="K82" s="257">
        <v>94494.84</v>
      </c>
      <c r="L82" s="255">
        <v>2.3938872821074025E-2</v>
      </c>
      <c r="M82" s="256">
        <v>498</v>
      </c>
      <c r="N82" s="255">
        <v>2.9000000000000001E-2</v>
      </c>
      <c r="O82" s="255">
        <v>3.4000000000000002E-2</v>
      </c>
      <c r="P82" s="254">
        <f>('[1]Modelo AHP'!$U$37*[1]aux!P48)+('[1]Modelo AHP'!$U$38*[1]aux!R48)+('[1]Modelo AHP'!$U$39*[1]aux!S48)</f>
        <v>7.2068177739992648E-3</v>
      </c>
      <c r="Q82" s="253">
        <f>[1]aux!U48</f>
        <v>7.6349235984232086E-3</v>
      </c>
      <c r="R82" s="254">
        <f>('[1]Modelo AHP'!$U$47*[1]aux!V48)+('[1]Modelo AHP'!$U$48*[1]aux!W48)+('[1]Modelo AHP'!$U$49*[1]aux!X48)</f>
        <v>6.6594749598925772E-3</v>
      </c>
      <c r="S82" s="253">
        <f>[1]aux!Z48</f>
        <v>7.6371550142536465E-3</v>
      </c>
      <c r="T82" s="252">
        <f>('[1]Modelo AHP'!$U$56*[1]aux!AA48)+('[1]Modelo AHP'!$U$57*[1]aux!AB48)+('[1]Modelo AHP'!$U$58*[1]aux!AC48)+('[1]Modelo AHP'!$U$59*[1]aux!AD48)</f>
        <v>4.951918362780563E-3</v>
      </c>
      <c r="U82" s="251">
        <f>('[1]Modelo AHP'!$U$23*[1]aux!AE48)+('[1]Modelo AHP'!$U$24*[1]aux!AF48)+('[1]Modelo AHP'!$U$25*[1]aux!AG48)+('[1]Modelo AHP'!$U$26*[1]aux!AH48)+('[1]Modelo AHP'!$U$27*[1]aux!AI48)</f>
        <v>6.9791314876492781E-3</v>
      </c>
    </row>
    <row r="83" spans="1:21" ht="17.25" thickTop="1" thickBot="1">
      <c r="A83" s="260">
        <v>80</v>
      </c>
      <c r="B83" s="259" t="s">
        <v>70</v>
      </c>
      <c r="C83" s="258" t="s">
        <v>74</v>
      </c>
      <c r="D83" s="290">
        <v>8.44</v>
      </c>
      <c r="E83" s="291">
        <v>85.01</v>
      </c>
      <c r="F83" s="292">
        <v>39.101554183521394</v>
      </c>
      <c r="G83" s="293">
        <v>35550.042138920595</v>
      </c>
      <c r="H83" s="290">
        <v>7.4</v>
      </c>
      <c r="I83" s="294">
        <v>8.870000000000001</v>
      </c>
      <c r="J83" s="295">
        <v>2.8073860836639954</v>
      </c>
      <c r="K83" s="257">
        <v>81626.81</v>
      </c>
      <c r="L83" s="255">
        <v>2.5117559353136826E-2</v>
      </c>
      <c r="M83" s="256">
        <v>245</v>
      </c>
      <c r="N83" s="255">
        <v>2.3E-2</v>
      </c>
      <c r="O83" s="255">
        <v>2.9000000000000001E-2</v>
      </c>
      <c r="P83" s="254">
        <f>('[1]Modelo AHP'!$U$37*[1]aux!P59)+('[1]Modelo AHP'!$U$38*[1]aux!R59)+('[1]Modelo AHP'!$U$39*[1]aux!S59)</f>
        <v>7.8311059180873922E-3</v>
      </c>
      <c r="Q83" s="253">
        <f>[1]aux!U59</f>
        <v>7.6421318985152656E-3</v>
      </c>
      <c r="R83" s="254">
        <f>('[1]Modelo AHP'!$U$47*[1]aux!V59)+('[1]Modelo AHP'!$U$48*[1]aux!W59)+('[1]Modelo AHP'!$U$49*[1]aux!X59)</f>
        <v>6.6536095552685946E-3</v>
      </c>
      <c r="S83" s="253">
        <f>[1]aux!Z59</f>
        <v>7.6446655440961207E-3</v>
      </c>
      <c r="T83" s="252">
        <f>('[1]Modelo AHP'!$U$56*[1]aux!AA59)+('[1]Modelo AHP'!$U$57*[1]aux!AB59)+('[1]Modelo AHP'!$U$58*[1]aux!AC59)+('[1]Modelo AHP'!$U$59*[1]aux!AD59)</f>
        <v>3.5026876219161345E-3</v>
      </c>
      <c r="U83" s="251">
        <f>('[1]Modelo AHP'!$U$23*[1]aux!AE59)+('[1]Modelo AHP'!$U$24*[1]aux!AF59)+('[1]Modelo AHP'!$U$25*[1]aux!AG59)+('[1]Modelo AHP'!$U$26*[1]aux!AH59)+('[1]Modelo AHP'!$U$27*[1]aux!AI59)</f>
        <v>6.9485262686040782E-3</v>
      </c>
    </row>
    <row r="84" spans="1:21" ht="17.25" thickTop="1" thickBot="1">
      <c r="A84" s="260">
        <v>81</v>
      </c>
      <c r="B84" s="259" t="s">
        <v>24</v>
      </c>
      <c r="C84" s="258" t="s">
        <v>28</v>
      </c>
      <c r="D84" s="290">
        <v>2.98</v>
      </c>
      <c r="E84" s="291">
        <v>73.78</v>
      </c>
      <c r="F84" s="292">
        <v>28.659286592865929</v>
      </c>
      <c r="G84" s="293">
        <v>38575</v>
      </c>
      <c r="H84" s="290">
        <v>9.1300000000000008</v>
      </c>
      <c r="I84" s="294">
        <v>9.68</v>
      </c>
      <c r="J84" s="295">
        <v>3.3840580393784729</v>
      </c>
      <c r="K84" s="257">
        <v>118352.83</v>
      </c>
      <c r="L84" s="255">
        <v>3.275315388247993E-2</v>
      </c>
      <c r="M84" s="256">
        <v>276</v>
      </c>
      <c r="N84" s="255">
        <v>2.9000000000000001E-2</v>
      </c>
      <c r="O84" s="255">
        <v>3.7037037037037035E-2</v>
      </c>
      <c r="P84" s="254">
        <f>('[1]Modelo AHP'!$U$37*[1]aux!P17)+('[1]Modelo AHP'!$U$38*[1]aux!R17)+('[1]Modelo AHP'!$U$39*[1]aux!S17)</f>
        <v>5.1351331846866827E-3</v>
      </c>
      <c r="Q84" s="253">
        <f>[1]aux!U17</f>
        <v>7.6378624334812947E-3</v>
      </c>
      <c r="R84" s="254">
        <f>('[1]Modelo AHP'!$U$47*[1]aux!V17)+('[1]Modelo AHP'!$U$48*[1]aux!W17)+('[1]Modelo AHP'!$U$49*[1]aux!X17)</f>
        <v>7.6762593854439167E-3</v>
      </c>
      <c r="S84" s="253">
        <f>[1]aux!Z17</f>
        <v>7.6232301053222543E-3</v>
      </c>
      <c r="T84" s="252">
        <f>('[1]Modelo AHP'!$U$56*[1]aux!AA17)+('[1]Modelo AHP'!$U$57*[1]aux!AB17)+('[1]Modelo AHP'!$U$58*[1]aux!AC17)+('[1]Modelo AHP'!$U$59*[1]aux!AD17)</f>
        <v>4.3148232686282583E-3</v>
      </c>
      <c r="U84" s="251">
        <f>('[1]Modelo AHP'!$U$23*[1]aux!AE17)+('[1]Modelo AHP'!$U$24*[1]aux!AF17)+('[1]Modelo AHP'!$U$25*[1]aux!AG17)+('[1]Modelo AHP'!$U$26*[1]aux!AH17)+('[1]Modelo AHP'!$U$27*[1]aux!AI17)</f>
        <v>6.9211175245994143E-3</v>
      </c>
    </row>
    <row r="85" spans="1:21" ht="17.25" thickTop="1" thickBot="1">
      <c r="A85" s="260">
        <v>82</v>
      </c>
      <c r="B85" s="263" t="s">
        <v>113</v>
      </c>
      <c r="C85" s="262" t="s">
        <v>119</v>
      </c>
      <c r="D85" s="290">
        <v>5.26</v>
      </c>
      <c r="E85" s="291">
        <v>85.76</v>
      </c>
      <c r="F85" s="292">
        <v>19.248826291079812</v>
      </c>
      <c r="G85" s="296">
        <v>53788.674353326314</v>
      </c>
      <c r="H85" s="290">
        <v>6.23</v>
      </c>
      <c r="I85" s="294">
        <v>8.57</v>
      </c>
      <c r="J85" s="295">
        <v>3.9481884365881985</v>
      </c>
      <c r="K85" s="261">
        <v>111362.62</v>
      </c>
      <c r="L85" s="255">
        <v>3.5803244162734657E-2</v>
      </c>
      <c r="M85" s="256">
        <v>615</v>
      </c>
      <c r="N85" s="255">
        <v>3.5000000000000003E-2</v>
      </c>
      <c r="O85" s="255">
        <v>4.5999999999999999E-2</v>
      </c>
      <c r="P85" s="254">
        <f>('[1]Modelo AHP'!$U$37*[1]aux!P102)+('[1]Modelo AHP'!$U$38*[1]aux!R102)+('[1]Modelo AHP'!$U$39*[1]aux!S102)</f>
        <v>4.52156335883553E-3</v>
      </c>
      <c r="Q85" s="253">
        <f>[1]aux!U102</f>
        <v>7.6163896547938696E-3</v>
      </c>
      <c r="R85" s="254">
        <f>('[1]Modelo AHP'!$U$47*[1]aux!V102)+('[1]Modelo AHP'!$U$48*[1]aux!W102)+('[1]Modelo AHP'!$U$49*[1]aux!X102)</f>
        <v>7.1375239835288085E-3</v>
      </c>
      <c r="S85" s="253">
        <f>[1]aux!Z102</f>
        <v>7.6273099979561809E-3</v>
      </c>
      <c r="T85" s="252">
        <f>('[1]Modelo AHP'!$U$56*[1]aux!AA102)+('[1]Modelo AHP'!$U$57*[1]aux!AB102)+('[1]Modelo AHP'!$U$58*[1]aux!AC102)+('[1]Modelo AHP'!$U$59*[1]aux!AD102)</f>
        <v>6.3745039062373214E-3</v>
      </c>
      <c r="U85" s="251">
        <f>('[1]Modelo AHP'!$U$23*[1]aux!AE102)+('[1]Modelo AHP'!$U$24*[1]aux!AF102)+('[1]Modelo AHP'!$U$25*[1]aux!AG102)+('[1]Modelo AHP'!$U$26*[1]aux!AH102)+('[1]Modelo AHP'!$U$27*[1]aux!AI102)</f>
        <v>6.820825947693729E-3</v>
      </c>
    </row>
    <row r="86" spans="1:21" ht="17.25" thickTop="1" thickBot="1">
      <c r="A86" s="260">
        <v>83</v>
      </c>
      <c r="B86" s="263" t="s">
        <v>62</v>
      </c>
      <c r="C86" s="262" t="s">
        <v>65</v>
      </c>
      <c r="D86" s="290">
        <v>5.2</v>
      </c>
      <c r="E86" s="291">
        <v>85.49</v>
      </c>
      <c r="F86" s="292">
        <v>34.60144410513999</v>
      </c>
      <c r="G86" s="296">
        <v>46484.096164430717</v>
      </c>
      <c r="H86" s="290">
        <v>6.4</v>
      </c>
      <c r="I86" s="294">
        <v>8.0950000000000006</v>
      </c>
      <c r="J86" s="295">
        <v>3.1354236157438291</v>
      </c>
      <c r="K86" s="257">
        <v>100460.69</v>
      </c>
      <c r="L86" s="255">
        <v>2.3938872821074025E-2</v>
      </c>
      <c r="M86" s="256">
        <v>498</v>
      </c>
      <c r="N86" s="255">
        <v>2.9000000000000001E-2</v>
      </c>
      <c r="O86" s="255">
        <v>3.4000000000000002E-2</v>
      </c>
      <c r="P86" s="254">
        <f>('[1]Modelo AHP'!$U$37*[1]aux!P50)+('[1]Modelo AHP'!$U$38*[1]aux!R50)+('[1]Modelo AHP'!$U$39*[1]aux!S50)</f>
        <v>6.4450074960091374E-3</v>
      </c>
      <c r="Q86" s="253">
        <f>[1]aux!U50</f>
        <v>7.6266994318544556E-3</v>
      </c>
      <c r="R86" s="254">
        <f>('[1]Modelo AHP'!$U$47*[1]aux!V50)+('[1]Modelo AHP'!$U$48*[1]aux!W50)+('[1]Modelo AHP'!$U$49*[1]aux!X50)</f>
        <v>6.4142900944507263E-3</v>
      </c>
      <c r="S86" s="253">
        <f>[1]aux!Z50</f>
        <v>7.6336729976232282E-3</v>
      </c>
      <c r="T86" s="252">
        <f>('[1]Modelo AHP'!$U$56*[1]aux!AA50)+('[1]Modelo AHP'!$U$57*[1]aux!AB50)+('[1]Modelo AHP'!$U$58*[1]aux!AC50)+('[1]Modelo AHP'!$U$59*[1]aux!AD50)</f>
        <v>4.951918362780563E-3</v>
      </c>
      <c r="U86" s="251">
        <f>('[1]Modelo AHP'!$U$23*[1]aux!AE50)+('[1]Modelo AHP'!$U$24*[1]aux!AF50)+('[1]Modelo AHP'!$U$25*[1]aux!AG50)+('[1]Modelo AHP'!$U$26*[1]aux!AH50)+('[1]Modelo AHP'!$U$27*[1]aux!AI50)</f>
        <v>6.7652958924017941E-3</v>
      </c>
    </row>
    <row r="87" spans="1:21" ht="17.25" thickTop="1" thickBot="1">
      <c r="A87" s="260">
        <v>84</v>
      </c>
      <c r="B87" s="263" t="s">
        <v>62</v>
      </c>
      <c r="C87" s="262" t="s">
        <v>67</v>
      </c>
      <c r="D87" s="290">
        <v>8.01</v>
      </c>
      <c r="E87" s="291">
        <v>84.65</v>
      </c>
      <c r="F87" s="292">
        <v>29.866802096077933</v>
      </c>
      <c r="G87" s="296">
        <v>43897.86647519769</v>
      </c>
      <c r="H87" s="290">
        <v>6.44</v>
      </c>
      <c r="I87" s="294">
        <v>7.915</v>
      </c>
      <c r="J87" s="295">
        <v>3.1354236157438291</v>
      </c>
      <c r="K87" s="257">
        <v>84306.14</v>
      </c>
      <c r="L87" s="255">
        <v>2.3938872821074025E-2</v>
      </c>
      <c r="M87" s="256">
        <v>498</v>
      </c>
      <c r="N87" s="255">
        <v>2.9000000000000001E-2</v>
      </c>
      <c r="O87" s="255">
        <v>3.4000000000000002E-2</v>
      </c>
      <c r="P87" s="254">
        <f>('[1]Modelo AHP'!$U$37*[1]aux!P53)+('[1]Modelo AHP'!$U$38*[1]aux!R53)+('[1]Modelo AHP'!$U$39*[1]aux!S53)</f>
        <v>6.5565211917296556E-3</v>
      </c>
      <c r="Q87" s="253">
        <f>[1]aux!U53</f>
        <v>7.6303496702164724E-3</v>
      </c>
      <c r="R87" s="254">
        <f>('[1]Modelo AHP'!$U$47*[1]aux!V53)+('[1]Modelo AHP'!$U$48*[1]aux!W53)+('[1]Modelo AHP'!$U$49*[1]aux!X53)</f>
        <v>6.3535653934916891E-3</v>
      </c>
      <c r="S87" s="253">
        <f>[1]aux!Z53</f>
        <v>7.643101731459467E-3</v>
      </c>
      <c r="T87" s="252">
        <f>('[1]Modelo AHP'!$U$56*[1]aux!AA53)+('[1]Modelo AHP'!$U$57*[1]aux!AB53)+('[1]Modelo AHP'!$U$58*[1]aux!AC53)+('[1]Modelo AHP'!$U$59*[1]aux!AD53)</f>
        <v>4.951918362780563E-3</v>
      </c>
      <c r="U87" s="251">
        <f>('[1]Modelo AHP'!$U$23*[1]aux!AE53)+('[1]Modelo AHP'!$U$24*[1]aux!AF53)+('[1]Modelo AHP'!$U$25*[1]aux!AG53)+('[1]Modelo AHP'!$U$26*[1]aux!AH53)+('[1]Modelo AHP'!$U$27*[1]aux!AI53)</f>
        <v>6.7650408784539953E-3</v>
      </c>
    </row>
    <row r="88" spans="1:21" ht="17.25" thickTop="1" thickBot="1">
      <c r="A88" s="260">
        <v>85</v>
      </c>
      <c r="B88" s="263" t="s">
        <v>24</v>
      </c>
      <c r="C88" s="262" t="s">
        <v>318</v>
      </c>
      <c r="D88" s="290">
        <v>7.83</v>
      </c>
      <c r="E88" s="291">
        <v>85.16</v>
      </c>
      <c r="F88" s="292">
        <v>28.057520691727934</v>
      </c>
      <c r="G88" s="296">
        <v>40446.1981682037</v>
      </c>
      <c r="H88" s="290">
        <v>5.86</v>
      </c>
      <c r="I88" s="294">
        <v>7.1950000000000003</v>
      </c>
      <c r="J88" s="295">
        <v>3.3840580393784729</v>
      </c>
      <c r="K88" s="257">
        <v>84211.54</v>
      </c>
      <c r="L88" s="255">
        <v>3.275315388247993E-2</v>
      </c>
      <c r="M88" s="256">
        <v>276</v>
      </c>
      <c r="N88" s="255">
        <v>2.9000000000000001E-2</v>
      </c>
      <c r="O88" s="255">
        <v>3.7037037037037035E-2</v>
      </c>
      <c r="P88" s="254">
        <f>('[1]Modelo AHP'!$U$37*[1]aux!P15)+('[1]Modelo AHP'!$U$38*[1]aux!R15)+('[1]Modelo AHP'!$U$39*[1]aux!S15)</f>
        <v>6.2825930362418051E-3</v>
      </c>
      <c r="Q88" s="253">
        <f>[1]aux!U15</f>
        <v>7.635221399947054E-3</v>
      </c>
      <c r="R88" s="254">
        <f>('[1]Modelo AHP'!$U$47*[1]aux!V15)+('[1]Modelo AHP'!$U$48*[1]aux!W15)+('[1]Modelo AHP'!$U$49*[1]aux!X15)</f>
        <v>6.1540105765108422E-3</v>
      </c>
      <c r="S88" s="253">
        <f>[1]aux!Z15</f>
        <v>7.6431569455150065E-3</v>
      </c>
      <c r="T88" s="252">
        <f>('[1]Modelo AHP'!$U$56*[1]aux!AA15)+('[1]Modelo AHP'!$U$57*[1]aux!AB15)+('[1]Modelo AHP'!$U$58*[1]aux!AC15)+('[1]Modelo AHP'!$U$59*[1]aux!AD15)</f>
        <v>4.3148232686282583E-3</v>
      </c>
      <c r="U88" s="251">
        <f>('[1]Modelo AHP'!$U$23*[1]aux!AE15)+('[1]Modelo AHP'!$U$24*[1]aux!AF15)+('[1]Modelo AHP'!$U$25*[1]aux!AG15)+('[1]Modelo AHP'!$U$26*[1]aux!AH15)+('[1]Modelo AHP'!$U$27*[1]aux!AI15)</f>
        <v>6.5930652177231134E-3</v>
      </c>
    </row>
    <row r="89" spans="1:21" ht="17.25" thickTop="1" thickBot="1">
      <c r="A89" s="260">
        <v>86</v>
      </c>
      <c r="B89" s="263" t="s">
        <v>113</v>
      </c>
      <c r="C89" s="262" t="s">
        <v>118</v>
      </c>
      <c r="D89" s="290">
        <v>5.18</v>
      </c>
      <c r="E89" s="291">
        <v>85.88</v>
      </c>
      <c r="F89" s="292">
        <v>18.417945690672962</v>
      </c>
      <c r="G89" s="296">
        <v>57428.84205137143</v>
      </c>
      <c r="H89" s="290">
        <v>4.95</v>
      </c>
      <c r="I89" s="294">
        <v>7.0250000000000004</v>
      </c>
      <c r="J89" s="295">
        <v>3.9481884365881985</v>
      </c>
      <c r="K89" s="261">
        <v>102430.02</v>
      </c>
      <c r="L89" s="255">
        <v>3.5803244162734657E-2</v>
      </c>
      <c r="M89" s="256">
        <v>615</v>
      </c>
      <c r="N89" s="255">
        <v>3.5000000000000003E-2</v>
      </c>
      <c r="O89" s="255">
        <v>4.5999999999999999E-2</v>
      </c>
      <c r="P89" s="254">
        <f>('[1]Modelo AHP'!$U$37*[1]aux!P101)+('[1]Modelo AHP'!$U$38*[1]aux!R101)+('[1]Modelo AHP'!$U$39*[1]aux!S101)</f>
        <v>4.396446480733375E-3</v>
      </c>
      <c r="Q89" s="253">
        <f>[1]aux!U101</f>
        <v>7.6112518745607765E-3</v>
      </c>
      <c r="R89" s="254">
        <f>('[1]Modelo AHP'!$U$47*[1]aux!V101)+('[1]Modelo AHP'!$U$48*[1]aux!W101)+('[1]Modelo AHP'!$U$49*[1]aux!X101)</f>
        <v>6.3258404499387782E-3</v>
      </c>
      <c r="S89" s="253">
        <f>[1]aux!Z101</f>
        <v>7.6325235822321648E-3</v>
      </c>
      <c r="T89" s="252">
        <f>('[1]Modelo AHP'!$U$56*[1]aux!AA101)+('[1]Modelo AHP'!$U$57*[1]aux!AB101)+('[1]Modelo AHP'!$U$58*[1]aux!AC101)+('[1]Modelo AHP'!$U$59*[1]aux!AD101)</f>
        <v>6.3745039062373214E-3</v>
      </c>
      <c r="U89" s="251">
        <f>('[1]Modelo AHP'!$U$23*[1]aux!AE101)+('[1]Modelo AHP'!$U$24*[1]aux!AF101)+('[1]Modelo AHP'!$U$25*[1]aux!AG101)+('[1]Modelo AHP'!$U$26*[1]aux!AH101)+('[1]Modelo AHP'!$U$27*[1]aux!AI101)</f>
        <v>6.5213069471267817E-3</v>
      </c>
    </row>
    <row r="90" spans="1:21" ht="17.25" thickTop="1" thickBot="1">
      <c r="A90" s="260">
        <v>87</v>
      </c>
      <c r="B90" s="263" t="s">
        <v>24</v>
      </c>
      <c r="C90" s="262" t="s">
        <v>316</v>
      </c>
      <c r="D90" s="290">
        <v>4.07</v>
      </c>
      <c r="E90" s="291">
        <v>86.21</v>
      </c>
      <c r="F90" s="292">
        <v>25.601391816387299</v>
      </c>
      <c r="G90" s="296">
        <v>45515.797866970956</v>
      </c>
      <c r="H90" s="290">
        <v>6.57</v>
      </c>
      <c r="I90" s="294">
        <v>7.9050000000000002</v>
      </c>
      <c r="J90" s="295">
        <v>3.3840580393784729</v>
      </c>
      <c r="K90" s="257">
        <v>82991.45</v>
      </c>
      <c r="L90" s="255">
        <v>3.275315388247993E-2</v>
      </c>
      <c r="M90" s="256">
        <v>276</v>
      </c>
      <c r="N90" s="255">
        <v>2.9000000000000001E-2</v>
      </c>
      <c r="O90" s="255">
        <v>3.7037037037037035E-2</v>
      </c>
      <c r="P90" s="254">
        <f>('[1]Modelo AHP'!$U$37*[1]aux!P12)+('[1]Modelo AHP'!$U$38*[1]aux!R12)+('[1]Modelo AHP'!$U$39*[1]aux!S12)</f>
        <v>5.0232901913011829E-3</v>
      </c>
      <c r="Q90" s="253">
        <f>[1]aux!U12</f>
        <v>7.6280661007183921E-3</v>
      </c>
      <c r="R90" s="254">
        <f>('[1]Modelo AHP'!$U$47*[1]aux!V12)+('[1]Modelo AHP'!$U$48*[1]aux!W12)+('[1]Modelo AHP'!$U$49*[1]aux!X12)</f>
        <v>6.5488073440033807E-3</v>
      </c>
      <c r="S90" s="253">
        <f>[1]aux!Z12</f>
        <v>7.6438690609169366E-3</v>
      </c>
      <c r="T90" s="252">
        <f>('[1]Modelo AHP'!$U$56*[1]aux!AA12)+('[1]Modelo AHP'!$U$57*[1]aux!AB12)+('[1]Modelo AHP'!$U$58*[1]aux!AC12)+('[1]Modelo AHP'!$U$59*[1]aux!AD12)</f>
        <v>4.3148232686282583E-3</v>
      </c>
      <c r="U90" s="251">
        <f>('[1]Modelo AHP'!$U$23*[1]aux!AE12)+('[1]Modelo AHP'!$U$24*[1]aux!AF12)+('[1]Modelo AHP'!$U$25*[1]aux!AG12)+('[1]Modelo AHP'!$U$26*[1]aux!AH12)+('[1]Modelo AHP'!$U$27*[1]aux!AI12)</f>
        <v>6.5155638189119628E-3</v>
      </c>
    </row>
    <row r="91" spans="1:21" ht="17.25" thickTop="1" thickBot="1">
      <c r="A91" s="260">
        <v>88</v>
      </c>
      <c r="B91" s="263" t="s">
        <v>24</v>
      </c>
      <c r="C91" s="262" t="s">
        <v>25</v>
      </c>
      <c r="D91" s="290">
        <v>3.84</v>
      </c>
      <c r="E91" s="291">
        <v>85.8</v>
      </c>
      <c r="F91" s="292">
        <v>25.733732643615571</v>
      </c>
      <c r="G91" s="296">
        <v>35479.451419982761</v>
      </c>
      <c r="H91" s="290">
        <v>6.39</v>
      </c>
      <c r="I91" s="294">
        <v>7.75</v>
      </c>
      <c r="J91" s="295">
        <v>3.3840580393784729</v>
      </c>
      <c r="K91" s="257">
        <v>85593.4</v>
      </c>
      <c r="L91" s="255">
        <v>3.275315388247993E-2</v>
      </c>
      <c r="M91" s="256">
        <v>276</v>
      </c>
      <c r="N91" s="255">
        <v>2.9000000000000001E-2</v>
      </c>
      <c r="O91" s="255">
        <v>3.7037037037037035E-2</v>
      </c>
      <c r="P91" s="254">
        <f>('[1]Modelo AHP'!$U$37*[1]aux!P11)+('[1]Modelo AHP'!$U$38*[1]aux!R11)+('[1]Modelo AHP'!$U$39*[1]aux!S11)</f>
        <v>4.9819728301459445E-3</v>
      </c>
      <c r="Q91" s="253">
        <f>[1]aux!U11</f>
        <v>7.6422315311779569E-3</v>
      </c>
      <c r="R91" s="254">
        <f>('[1]Modelo AHP'!$U$47*[1]aux!V11)+('[1]Modelo AHP'!$U$48*[1]aux!W11)+('[1]Modelo AHP'!$U$49*[1]aux!X11)</f>
        <v>6.4581460649816829E-3</v>
      </c>
      <c r="S91" s="253">
        <f>[1]aux!Z11</f>
        <v>7.6423504117434709E-3</v>
      </c>
      <c r="T91" s="252">
        <f>('[1]Modelo AHP'!$U$56*[1]aux!AA11)+('[1]Modelo AHP'!$U$57*[1]aux!AB11)+('[1]Modelo AHP'!$U$58*[1]aux!AC11)+('[1]Modelo AHP'!$U$59*[1]aux!AD11)</f>
        <v>4.3148232686282583E-3</v>
      </c>
      <c r="U91" s="251">
        <f>('[1]Modelo AHP'!$U$23*[1]aux!AE11)+('[1]Modelo AHP'!$U$24*[1]aux!AF11)+('[1]Modelo AHP'!$U$25*[1]aux!AG11)+('[1]Modelo AHP'!$U$26*[1]aux!AH11)+('[1]Modelo AHP'!$U$27*[1]aux!AI11)</f>
        <v>6.4821431901315365E-3</v>
      </c>
    </row>
    <row r="92" spans="1:21" ht="17.25" thickTop="1" thickBot="1">
      <c r="A92" s="260">
        <v>89</v>
      </c>
      <c r="B92" s="263" t="s">
        <v>70</v>
      </c>
      <c r="C92" s="262" t="s">
        <v>71</v>
      </c>
      <c r="D92" s="290">
        <v>4.55</v>
      </c>
      <c r="E92" s="291">
        <v>81.2</v>
      </c>
      <c r="F92" s="292">
        <v>27.466842253786098</v>
      </c>
      <c r="G92" s="296">
        <v>55237.794579954585</v>
      </c>
      <c r="H92" s="290">
        <v>6.7</v>
      </c>
      <c r="I92" s="294">
        <v>8.745000000000001</v>
      </c>
      <c r="J92" s="295">
        <v>2.8073860836639954</v>
      </c>
      <c r="K92" s="257">
        <v>93028.53</v>
      </c>
      <c r="L92" s="255">
        <v>2.5117559353136826E-2</v>
      </c>
      <c r="M92" s="256">
        <v>245</v>
      </c>
      <c r="N92" s="255">
        <v>2.3E-2</v>
      </c>
      <c r="O92" s="255">
        <v>2.9000000000000001E-2</v>
      </c>
      <c r="P92" s="254">
        <f>('[1]Modelo AHP'!$U$37*[1]aux!P56)+('[1]Modelo AHP'!$U$38*[1]aux!R56)+('[1]Modelo AHP'!$U$39*[1]aux!S56)</f>
        <v>5.3803479275688721E-3</v>
      </c>
      <c r="Q92" s="253">
        <f>[1]aux!U56</f>
        <v>7.6143443475791099E-3</v>
      </c>
      <c r="R92" s="254">
        <f>('[1]Modelo AHP'!$U$47*[1]aux!V56)+('[1]Modelo AHP'!$U$48*[1]aux!W56)+('[1]Modelo AHP'!$U$49*[1]aux!X56)</f>
        <v>6.4812182788601749E-3</v>
      </c>
      <c r="S92" s="253">
        <f>[1]aux!Z56</f>
        <v>7.6380108379510833E-3</v>
      </c>
      <c r="T92" s="252">
        <f>('[1]Modelo AHP'!$U$56*[1]aux!AA56)+('[1]Modelo AHP'!$U$57*[1]aux!AB56)+('[1]Modelo AHP'!$U$58*[1]aux!AC56)+('[1]Modelo AHP'!$U$59*[1]aux!AD56)</f>
        <v>3.5026876219161345E-3</v>
      </c>
      <c r="U92" s="251">
        <f>('[1]Modelo AHP'!$U$23*[1]aux!AE56)+('[1]Modelo AHP'!$U$24*[1]aux!AF56)+('[1]Modelo AHP'!$U$25*[1]aux!AG56)+('[1]Modelo AHP'!$U$26*[1]aux!AH56)+('[1]Modelo AHP'!$U$27*[1]aux!AI56)</f>
        <v>6.4711562114550519E-3</v>
      </c>
    </row>
    <row r="93" spans="1:21" ht="17.25" thickTop="1" thickBot="1">
      <c r="A93" s="260">
        <v>90</v>
      </c>
      <c r="B93" s="263" t="s">
        <v>113</v>
      </c>
      <c r="C93" s="262" t="s">
        <v>121</v>
      </c>
      <c r="D93" s="290">
        <v>2.78</v>
      </c>
      <c r="E93" s="291">
        <v>86.37</v>
      </c>
      <c r="F93" s="292">
        <v>15.616862988220706</v>
      </c>
      <c r="G93" s="296">
        <v>66647.54388251128</v>
      </c>
      <c r="H93" s="290">
        <v>5.17</v>
      </c>
      <c r="I93" s="294">
        <v>7.2750000000000004</v>
      </c>
      <c r="J93" s="295">
        <v>3.9481884365881985</v>
      </c>
      <c r="K93" s="257">
        <v>112108.16</v>
      </c>
      <c r="L93" s="255">
        <v>3.5803244162734657E-2</v>
      </c>
      <c r="M93" s="256">
        <v>615</v>
      </c>
      <c r="N93" s="255">
        <v>3.5000000000000003E-2</v>
      </c>
      <c r="O93" s="255">
        <v>4.5999999999999999E-2</v>
      </c>
      <c r="P93" s="254">
        <f>('[1]Modelo AHP'!$U$37*[1]aux!P104)+('[1]Modelo AHP'!$U$38*[1]aux!R104)+('[1]Modelo AHP'!$U$39*[1]aux!S104)</f>
        <v>3.4369150329624592E-3</v>
      </c>
      <c r="Q93" s="253">
        <f>[1]aux!U104</f>
        <v>7.5982404783912416E-3</v>
      </c>
      <c r="R93" s="254">
        <f>('[1]Modelo AHP'!$U$47*[1]aux!V104)+('[1]Modelo AHP'!$U$48*[1]aux!W104)+('[1]Modelo AHP'!$U$49*[1]aux!X104)</f>
        <v>6.4594854934602727E-3</v>
      </c>
      <c r="S93" s="253">
        <f>[1]aux!Z104</f>
        <v>7.6268748575019892E-3</v>
      </c>
      <c r="T93" s="252">
        <f>('[1]Modelo AHP'!$U$56*[1]aux!AA104)+('[1]Modelo AHP'!$U$57*[1]aux!AB104)+('[1]Modelo AHP'!$U$58*[1]aux!AC104)+('[1]Modelo AHP'!$U$59*[1]aux!AD104)</f>
        <v>6.3745039062373214E-3</v>
      </c>
      <c r="U93" s="251">
        <f>('[1]Modelo AHP'!$U$23*[1]aux!AE104)+('[1]Modelo AHP'!$U$24*[1]aux!AF104)+('[1]Modelo AHP'!$U$25*[1]aux!AG104)+('[1]Modelo AHP'!$U$26*[1]aux!AH104)+('[1]Modelo AHP'!$U$27*[1]aux!AI104)</f>
        <v>6.4022233056740532E-3</v>
      </c>
    </row>
    <row r="94" spans="1:21" ht="17.25" thickTop="1" thickBot="1">
      <c r="A94" s="260">
        <v>91</v>
      </c>
      <c r="B94" s="263" t="s">
        <v>147</v>
      </c>
      <c r="C94" s="262" t="s">
        <v>151</v>
      </c>
      <c r="D94" s="290">
        <v>5.75</v>
      </c>
      <c r="E94" s="291">
        <v>85.61</v>
      </c>
      <c r="F94" s="292">
        <v>29.890992541594951</v>
      </c>
      <c r="G94" s="296">
        <v>41635.74326319353</v>
      </c>
      <c r="H94" s="290">
        <v>6.12</v>
      </c>
      <c r="I94" s="294">
        <v>7.55</v>
      </c>
      <c r="J94" s="295">
        <v>2.8390176496451227</v>
      </c>
      <c r="K94" s="257">
        <v>98147.3</v>
      </c>
      <c r="L94" s="255">
        <v>2.4022988505747127E-2</v>
      </c>
      <c r="M94" s="256">
        <v>80</v>
      </c>
      <c r="N94" s="255">
        <v>2.5999999999999999E-2</v>
      </c>
      <c r="O94" s="255">
        <v>3.1E-2</v>
      </c>
      <c r="P94" s="254">
        <f>('[1]Modelo AHP'!$U$37*[1]aux!P134)+('[1]Modelo AHP'!$U$38*[1]aux!R134)+('[1]Modelo AHP'!$U$39*[1]aux!S134)</f>
        <v>5.9890422989747148E-3</v>
      </c>
      <c r="Q94" s="253">
        <f>[1]aux!U134</f>
        <v>7.6335424604633889E-3</v>
      </c>
      <c r="R94" s="254">
        <f>('[1]Modelo AHP'!$U$47*[1]aux!V134)+('[1]Modelo AHP'!$U$48*[1]aux!W134)+('[1]Modelo AHP'!$U$49*[1]aux!X134)</f>
        <v>5.9491378126884801E-3</v>
      </c>
      <c r="S94" s="253">
        <f>[1]aux!Z134</f>
        <v>7.6350232264175569E-3</v>
      </c>
      <c r="T94" s="252">
        <f>('[1]Modelo AHP'!$U$56*[1]aux!AA134)+('[1]Modelo AHP'!$U$57*[1]aux!AB134)+('[1]Modelo AHP'!$U$58*[1]aux!AC134)+('[1]Modelo AHP'!$U$59*[1]aux!AD134)</f>
        <v>2.8897023671300669E-3</v>
      </c>
      <c r="U94" s="251">
        <f>('[1]Modelo AHP'!$U$23*[1]aux!AE134)+('[1]Modelo AHP'!$U$24*[1]aux!AF134)+('[1]Modelo AHP'!$U$25*[1]aux!AG134)+('[1]Modelo AHP'!$U$26*[1]aux!AH134)+('[1]Modelo AHP'!$U$27*[1]aux!AI134)</f>
        <v>6.3394948202385231E-3</v>
      </c>
    </row>
    <row r="95" spans="1:21" ht="17.25" thickTop="1" thickBot="1">
      <c r="A95" s="260">
        <v>92</v>
      </c>
      <c r="B95" s="263" t="s">
        <v>34</v>
      </c>
      <c r="C95" s="262" t="s">
        <v>37</v>
      </c>
      <c r="D95" s="290">
        <v>6.62</v>
      </c>
      <c r="E95" s="291">
        <v>85.68</v>
      </c>
      <c r="F95" s="292">
        <v>24.537707958958901</v>
      </c>
      <c r="G95" s="296">
        <v>41675.788313774166</v>
      </c>
      <c r="H95" s="290">
        <v>6.04</v>
      </c>
      <c r="I95" s="294">
        <v>8.120000000000001</v>
      </c>
      <c r="J95" s="295">
        <v>2.5515857253360652</v>
      </c>
      <c r="K95" s="257">
        <v>109638.43</v>
      </c>
      <c r="L95" s="255">
        <v>2.7153209406238363E-2</v>
      </c>
      <c r="M95" s="256">
        <v>128</v>
      </c>
      <c r="N95" s="255">
        <v>1.9E-2</v>
      </c>
      <c r="O95" s="255">
        <v>2.5000000000000001E-2</v>
      </c>
      <c r="P95" s="254">
        <f>('[1]Modelo AHP'!$U$37*[1]aux!P26)+('[1]Modelo AHP'!$U$38*[1]aux!R26)+('[1]Modelo AHP'!$U$39*[1]aux!S26)</f>
        <v>5.532684308622195E-3</v>
      </c>
      <c r="Q95" s="253">
        <f>[1]aux!U26</f>
        <v>7.6334859403559725E-3</v>
      </c>
      <c r="R95" s="254">
        <f>('[1]Modelo AHP'!$U$47*[1]aux!V26)+('[1]Modelo AHP'!$U$48*[1]aux!W26)+('[1]Modelo AHP'!$U$49*[1]aux!X26)</f>
        <v>5.9466057190515169E-3</v>
      </c>
      <c r="S95" s="253">
        <f>[1]aux!Z26</f>
        <v>7.6283163354024805E-3</v>
      </c>
      <c r="T95" s="252">
        <f>('[1]Modelo AHP'!$U$56*[1]aux!AA26)+('[1]Modelo AHP'!$U$57*[1]aux!AB26)+('[1]Modelo AHP'!$U$58*[1]aux!AC26)+('[1]Modelo AHP'!$U$59*[1]aux!AD26)</f>
        <v>2.7977118641345118E-3</v>
      </c>
      <c r="U95" s="251">
        <f>('[1]Modelo AHP'!$U$23*[1]aux!AE26)+('[1]Modelo AHP'!$U$24*[1]aux!AF26)+('[1]Modelo AHP'!$U$25*[1]aux!AG26)+('[1]Modelo AHP'!$U$26*[1]aux!AH26)+('[1]Modelo AHP'!$U$27*[1]aux!AI26)</f>
        <v>6.2533359583339171E-3</v>
      </c>
    </row>
    <row r="96" spans="1:21" ht="17.25" thickTop="1" thickBot="1">
      <c r="A96" s="260">
        <v>93</v>
      </c>
      <c r="B96" s="263" t="s">
        <v>41</v>
      </c>
      <c r="C96" s="262" t="s">
        <v>43</v>
      </c>
      <c r="D96" s="290">
        <v>6.46</v>
      </c>
      <c r="E96" s="291">
        <v>84.97</v>
      </c>
      <c r="F96" s="292">
        <v>22.079392566937525</v>
      </c>
      <c r="G96" s="296">
        <v>44699.409526484305</v>
      </c>
      <c r="H96" s="290">
        <v>6.12</v>
      </c>
      <c r="I96" s="294">
        <v>8.875</v>
      </c>
      <c r="J96" s="295">
        <v>2.5063762470002047</v>
      </c>
      <c r="K96" s="257">
        <v>101406.77</v>
      </c>
      <c r="L96" s="255">
        <v>1.8523972199316764E-2</v>
      </c>
      <c r="M96" s="256">
        <v>148</v>
      </c>
      <c r="N96" s="255">
        <v>1.4999999999999999E-2</v>
      </c>
      <c r="O96" s="255">
        <v>2.576864177170456E-2</v>
      </c>
      <c r="P96" s="254">
        <f>('[1]Modelo AHP'!$U$37*[1]aux!P31)+('[1]Modelo AHP'!$U$38*[1]aux!R31)+('[1]Modelo AHP'!$U$39*[1]aux!S31)</f>
        <v>5.1819356320862257E-3</v>
      </c>
      <c r="Q96" s="253">
        <f>[1]aux!U31</f>
        <v>7.6292183618849683E-3</v>
      </c>
      <c r="R96" s="254">
        <f>('[1]Modelo AHP'!$U$47*[1]aux!V31)+('[1]Modelo AHP'!$U$48*[1]aux!W31)+('[1]Modelo AHP'!$U$49*[1]aux!X31)</f>
        <v>6.2136897730671386E-3</v>
      </c>
      <c r="S96" s="253">
        <f>[1]aux!Z31</f>
        <v>7.6331208103751907E-3</v>
      </c>
      <c r="T96" s="252">
        <f>('[1]Modelo AHP'!$U$56*[1]aux!AA31)+('[1]Modelo AHP'!$U$57*[1]aux!AB31)+('[1]Modelo AHP'!$U$58*[1]aux!AC31)+('[1]Modelo AHP'!$U$59*[1]aux!AD31)</f>
        <v>2.443050197790269E-3</v>
      </c>
      <c r="U96" s="251">
        <f>('[1]Modelo AHP'!$U$23*[1]aux!AE31)+('[1]Modelo AHP'!$U$24*[1]aux!AF31)+('[1]Modelo AHP'!$U$25*[1]aux!AG31)+('[1]Modelo AHP'!$U$26*[1]aux!AH31)+('[1]Modelo AHP'!$U$27*[1]aux!AI31)</f>
        <v>6.251852068015663E-3</v>
      </c>
    </row>
    <row r="97" spans="1:21" ht="17.25" thickTop="1" thickBot="1">
      <c r="A97" s="260">
        <v>94</v>
      </c>
      <c r="B97" s="263" t="s">
        <v>41</v>
      </c>
      <c r="C97" s="262" t="s">
        <v>44</v>
      </c>
      <c r="D97" s="290">
        <v>7.21</v>
      </c>
      <c r="E97" s="291">
        <v>85.56</v>
      </c>
      <c r="F97" s="292">
        <v>23.396627273934403</v>
      </c>
      <c r="G97" s="296">
        <v>44436.726803944228</v>
      </c>
      <c r="H97" s="290">
        <v>5.98</v>
      </c>
      <c r="I97" s="294">
        <v>8.3849999999999998</v>
      </c>
      <c r="J97" s="295">
        <v>2.5063762470002047</v>
      </c>
      <c r="K97" s="257">
        <v>113798.58</v>
      </c>
      <c r="L97" s="255">
        <v>1.8523972199316764E-2</v>
      </c>
      <c r="M97" s="256">
        <v>148</v>
      </c>
      <c r="N97" s="255">
        <v>1.4999999999999999E-2</v>
      </c>
      <c r="O97" s="255">
        <v>2.576864177170456E-2</v>
      </c>
      <c r="P97" s="254">
        <f>('[1]Modelo AHP'!$U$37*[1]aux!P32)+('[1]Modelo AHP'!$U$38*[1]aux!R32)+('[1]Modelo AHP'!$U$39*[1]aux!S32)</f>
        <v>5.5375359058849605E-3</v>
      </c>
      <c r="Q97" s="253">
        <f>[1]aux!U32</f>
        <v>7.629589115710449E-3</v>
      </c>
      <c r="R97" s="254">
        <f>('[1]Modelo AHP'!$U$47*[1]aux!V32)+('[1]Modelo AHP'!$U$48*[1]aux!W32)+('[1]Modelo AHP'!$U$49*[1]aux!X32)</f>
        <v>6.0038499307368785E-3</v>
      </c>
      <c r="S97" s="253">
        <f>[1]aux!Z32</f>
        <v>7.6258882301894707E-3</v>
      </c>
      <c r="T97" s="252">
        <f>('[1]Modelo AHP'!$U$56*[1]aux!AA32)+('[1]Modelo AHP'!$U$57*[1]aux!AB32)+('[1]Modelo AHP'!$U$58*[1]aux!AC32)+('[1]Modelo AHP'!$U$59*[1]aux!AD32)</f>
        <v>2.443050197790269E-3</v>
      </c>
      <c r="U97" s="251">
        <f>('[1]Modelo AHP'!$U$23*[1]aux!AE32)+('[1]Modelo AHP'!$U$24*[1]aux!AF32)+('[1]Modelo AHP'!$U$25*[1]aux!AG32)+('[1]Modelo AHP'!$U$26*[1]aux!AH32)+('[1]Modelo AHP'!$U$27*[1]aux!AI32)</f>
        <v>6.2390648019010212E-3</v>
      </c>
    </row>
    <row r="98" spans="1:21" ht="17.25" thickTop="1" thickBot="1">
      <c r="A98" s="260">
        <v>95</v>
      </c>
      <c r="B98" s="263" t="s">
        <v>55</v>
      </c>
      <c r="C98" s="262" t="s">
        <v>56</v>
      </c>
      <c r="D98" s="290">
        <v>6.55</v>
      </c>
      <c r="E98" s="291">
        <v>86.62</v>
      </c>
      <c r="F98" s="292">
        <v>21.306788097003071</v>
      </c>
      <c r="G98" s="296">
        <v>45820.967484979083</v>
      </c>
      <c r="H98" s="290">
        <v>5.86</v>
      </c>
      <c r="I98" s="294">
        <v>7.76</v>
      </c>
      <c r="J98" s="295">
        <v>2.703855152959699</v>
      </c>
      <c r="K98" s="257">
        <v>111003.11</v>
      </c>
      <c r="L98" s="255">
        <v>2.7428537540030839E-2</v>
      </c>
      <c r="M98" s="256">
        <v>160</v>
      </c>
      <c r="N98" s="255">
        <v>2.7E-2</v>
      </c>
      <c r="O98" s="255">
        <v>3.3000000000000002E-2</v>
      </c>
      <c r="P98" s="254">
        <f>('[1]Modelo AHP'!$U$37*[1]aux!P42)+('[1]Modelo AHP'!$U$38*[1]aux!R42)+('[1]Modelo AHP'!$U$39*[1]aux!S42)</f>
        <v>5.1069826109683553E-3</v>
      </c>
      <c r="Q98" s="253">
        <f>[1]aux!U42</f>
        <v>7.6276353803337287E-3</v>
      </c>
      <c r="R98" s="254">
        <f>('[1]Modelo AHP'!$U$47*[1]aux!V42)+('[1]Modelo AHP'!$U$48*[1]aux!W42)+('[1]Modelo AHP'!$U$49*[1]aux!X42)</f>
        <v>5.8862692080742457E-3</v>
      </c>
      <c r="S98" s="253">
        <f>[1]aux!Z42</f>
        <v>7.6275198288769715E-3</v>
      </c>
      <c r="T98" s="252">
        <f>('[1]Modelo AHP'!$U$56*[1]aux!AA42)+('[1]Modelo AHP'!$U$57*[1]aux!AB42)+('[1]Modelo AHP'!$U$58*[1]aux!AC42)+('[1]Modelo AHP'!$U$59*[1]aux!AD42)</f>
        <v>3.4472446780921067E-3</v>
      </c>
      <c r="U98" s="251">
        <f>('[1]Modelo AHP'!$U$23*[1]aux!AE42)+('[1]Modelo AHP'!$U$24*[1]aux!AF42)+('[1]Modelo AHP'!$U$25*[1]aux!AG42)+('[1]Modelo AHP'!$U$26*[1]aux!AH42)+('[1]Modelo AHP'!$U$27*[1]aux!AI42)</f>
        <v>6.2205352805488143E-3</v>
      </c>
    </row>
    <row r="99" spans="1:21" ht="17.25" thickTop="1" thickBot="1">
      <c r="A99" s="260">
        <v>96</v>
      </c>
      <c r="B99" s="263" t="s">
        <v>55</v>
      </c>
      <c r="C99" s="262" t="s">
        <v>58</v>
      </c>
      <c r="D99" s="290">
        <v>6.89</v>
      </c>
      <c r="E99" s="291">
        <v>84.6</v>
      </c>
      <c r="F99" s="292">
        <v>21.089931573802541</v>
      </c>
      <c r="G99" s="296">
        <v>42776.916598599571</v>
      </c>
      <c r="H99" s="290">
        <v>5.63</v>
      </c>
      <c r="I99" s="294">
        <v>7.5399999999999991</v>
      </c>
      <c r="J99" s="295">
        <v>2.703855152959699</v>
      </c>
      <c r="K99" s="257">
        <v>114444.1</v>
      </c>
      <c r="L99" s="255">
        <v>2.7428537540030839E-2</v>
      </c>
      <c r="M99" s="256">
        <v>160</v>
      </c>
      <c r="N99" s="255">
        <v>2.7E-2</v>
      </c>
      <c r="O99" s="255">
        <v>3.3000000000000002E-2</v>
      </c>
      <c r="P99" s="254">
        <f>('[1]Modelo AHP'!$U$37*[1]aux!P44)+('[1]Modelo AHP'!$U$38*[1]aux!R44)+('[1]Modelo AHP'!$U$39*[1]aux!S44)</f>
        <v>5.1655624629071886E-3</v>
      </c>
      <c r="Q99" s="253">
        <f>[1]aux!U44</f>
        <v>7.6319317935129817E-3</v>
      </c>
      <c r="R99" s="254">
        <f>('[1]Modelo AHP'!$U$47*[1]aux!V44)+('[1]Modelo AHP'!$U$48*[1]aux!W44)+('[1]Modelo AHP'!$U$49*[1]aux!X44)</f>
        <v>5.7621485144038476E-3</v>
      </c>
      <c r="S99" s="253">
        <f>[1]aux!Z44</f>
        <v>7.6255114672176775E-3</v>
      </c>
      <c r="T99" s="252">
        <f>('[1]Modelo AHP'!$U$56*[1]aux!AA44)+('[1]Modelo AHP'!$U$57*[1]aux!AB44)+('[1]Modelo AHP'!$U$58*[1]aux!AC44)+('[1]Modelo AHP'!$U$59*[1]aux!AD44)</f>
        <v>3.4472446780921067E-3</v>
      </c>
      <c r="U99" s="251">
        <f>('[1]Modelo AHP'!$U$23*[1]aux!AE44)+('[1]Modelo AHP'!$U$24*[1]aux!AF44)+('[1]Modelo AHP'!$U$25*[1]aux!AG44)+('[1]Modelo AHP'!$U$26*[1]aux!AH44)+('[1]Modelo AHP'!$U$27*[1]aux!AI44)</f>
        <v>6.1891313153736001E-3</v>
      </c>
    </row>
    <row r="100" spans="1:21" ht="17.25" thickTop="1" thickBot="1">
      <c r="A100" s="260">
        <v>97</v>
      </c>
      <c r="B100" s="263" t="s">
        <v>55</v>
      </c>
      <c r="C100" s="262" t="s">
        <v>57</v>
      </c>
      <c r="D100" s="290">
        <v>6.16</v>
      </c>
      <c r="E100" s="291">
        <v>85.26</v>
      </c>
      <c r="F100" s="292">
        <v>22.874574914982997</v>
      </c>
      <c r="G100" s="296">
        <v>42935.374278636868</v>
      </c>
      <c r="H100" s="290">
        <v>5.63</v>
      </c>
      <c r="I100" s="294">
        <v>7.4649999999999999</v>
      </c>
      <c r="J100" s="295">
        <v>2.703855152959699</v>
      </c>
      <c r="K100" s="257">
        <v>119836.57</v>
      </c>
      <c r="L100" s="255">
        <v>2.7428537540030839E-2</v>
      </c>
      <c r="M100" s="256">
        <v>160</v>
      </c>
      <c r="N100" s="255">
        <v>2.7E-2</v>
      </c>
      <c r="O100" s="255">
        <v>3.3000000000000002E-2</v>
      </c>
      <c r="P100" s="254">
        <f>('[1]Modelo AHP'!$U$37*[1]aux!P43)+('[1]Modelo AHP'!$U$38*[1]aux!R43)+('[1]Modelo AHP'!$U$39*[1]aux!S43)</f>
        <v>5.2065973017081761E-3</v>
      </c>
      <c r="Q100" s="253">
        <f>[1]aux!U43</f>
        <v>7.6317081442737675E-3</v>
      </c>
      <c r="R100" s="254">
        <f>('[1]Modelo AHP'!$U$47*[1]aux!V43)+('[1]Modelo AHP'!$U$48*[1]aux!W43)+('[1]Modelo AHP'!$U$49*[1]aux!X43)</f>
        <v>5.7338643874605289E-3</v>
      </c>
      <c r="S100" s="253">
        <f>[1]aux!Z43</f>
        <v>7.6223641084642675E-3</v>
      </c>
      <c r="T100" s="252">
        <f>('[1]Modelo AHP'!$U$56*[1]aux!AA43)+('[1]Modelo AHP'!$U$57*[1]aux!AB43)+('[1]Modelo AHP'!$U$58*[1]aux!AC43)+('[1]Modelo AHP'!$U$59*[1]aux!AD43)</f>
        <v>3.4472446780921067E-3</v>
      </c>
      <c r="U100" s="251">
        <f>('[1]Modelo AHP'!$U$23*[1]aux!AE43)+('[1]Modelo AHP'!$U$24*[1]aux!AF43)+('[1]Modelo AHP'!$U$25*[1]aux!AG43)+('[1]Modelo AHP'!$U$26*[1]aux!AH43)+('[1]Modelo AHP'!$U$27*[1]aux!AI43)</f>
        <v>6.1860053160120989E-3</v>
      </c>
    </row>
    <row r="101" spans="1:21" ht="17.25" thickTop="1" thickBot="1">
      <c r="A101" s="260">
        <v>98</v>
      </c>
      <c r="B101" s="263" t="s">
        <v>29</v>
      </c>
      <c r="C101" s="262" t="s">
        <v>30</v>
      </c>
      <c r="D101" s="290">
        <v>5.39</v>
      </c>
      <c r="E101" s="291">
        <v>87.03</v>
      </c>
      <c r="F101" s="292">
        <v>24.769610333067266</v>
      </c>
      <c r="G101" s="296">
        <v>36935.286245332303</v>
      </c>
      <c r="H101" s="290">
        <v>6.13</v>
      </c>
      <c r="I101" s="294">
        <v>7.4350000000000005</v>
      </c>
      <c r="J101" s="295">
        <v>3.0468907224793722</v>
      </c>
      <c r="K101" s="257">
        <v>95326.83</v>
      </c>
      <c r="L101" s="255">
        <v>1.3496812800832574E-2</v>
      </c>
      <c r="M101" s="256">
        <v>128</v>
      </c>
      <c r="N101" s="255">
        <v>1.4999999999999999E-2</v>
      </c>
      <c r="O101" s="255">
        <v>2.4E-2</v>
      </c>
      <c r="P101" s="254">
        <f>('[1]Modelo AHP'!$U$37*[1]aux!P18)+('[1]Modelo AHP'!$U$38*[1]aux!R18)+('[1]Modelo AHP'!$U$39*[1]aux!S18)</f>
        <v>5.2513977363153035E-3</v>
      </c>
      <c r="Q101" s="253">
        <f>[1]aux!U18</f>
        <v>7.6401767468908628E-3</v>
      </c>
      <c r="R101" s="254">
        <f>('[1]Modelo AHP'!$U$47*[1]aux!V18)+('[1]Modelo AHP'!$U$48*[1]aux!W18)+('[1]Modelo AHP'!$U$49*[1]aux!X18)</f>
        <v>6.0544973917075143E-3</v>
      </c>
      <c r="S101" s="253">
        <f>[1]aux!Z18</f>
        <v>7.636669416557368E-3</v>
      </c>
      <c r="T101" s="252">
        <f>('[1]Modelo AHP'!$U$56*[1]aux!AA18)+('[1]Modelo AHP'!$U$57*[1]aux!AB18)+('[1]Modelo AHP'!$U$58*[1]aux!AC18)+('[1]Modelo AHP'!$U$59*[1]aux!AD18)</f>
        <v>2.1466223173517819E-3</v>
      </c>
      <c r="U101" s="251">
        <f>('[1]Modelo AHP'!$U$23*[1]aux!AE18)+('[1]Modelo AHP'!$U$24*[1]aux!AF18)+('[1]Modelo AHP'!$U$25*[1]aux!AG18)+('[1]Modelo AHP'!$U$26*[1]aux!AH18)+('[1]Modelo AHP'!$U$27*[1]aux!AI18)</f>
        <v>6.1850949862622866E-3</v>
      </c>
    </row>
    <row r="102" spans="1:21" ht="17.25" thickTop="1" thickBot="1">
      <c r="A102" s="260">
        <v>99</v>
      </c>
      <c r="B102" s="263" t="s">
        <v>62</v>
      </c>
      <c r="C102" s="262" t="s">
        <v>66</v>
      </c>
      <c r="D102" s="290">
        <v>3.16</v>
      </c>
      <c r="E102" s="291">
        <v>85.8</v>
      </c>
      <c r="F102" s="292">
        <v>23.109137513989676</v>
      </c>
      <c r="G102" s="296">
        <v>59243.286056378725</v>
      </c>
      <c r="H102" s="290">
        <v>5.16</v>
      </c>
      <c r="I102" s="294">
        <v>6.59</v>
      </c>
      <c r="J102" s="295">
        <v>3.1354236157438291</v>
      </c>
      <c r="K102" s="257">
        <v>96062.43</v>
      </c>
      <c r="L102" s="255">
        <v>2.3938872821074025E-2</v>
      </c>
      <c r="M102" s="256">
        <v>498</v>
      </c>
      <c r="N102" s="255">
        <v>2.9000000000000001E-2</v>
      </c>
      <c r="O102" s="255">
        <v>3.4000000000000002E-2</v>
      </c>
      <c r="P102" s="254">
        <f>('[1]Modelo AHP'!$U$37*[1]aux!P52)+('[1]Modelo AHP'!$U$38*[1]aux!R52)+('[1]Modelo AHP'!$U$39*[1]aux!S52)</f>
        <v>4.4789210348267459E-3</v>
      </c>
      <c r="Q102" s="253">
        <f>[1]aux!U52</f>
        <v>7.6086909445937352E-3</v>
      </c>
      <c r="R102" s="254">
        <f>('[1]Modelo AHP'!$U$47*[1]aux!V52)+('[1]Modelo AHP'!$U$48*[1]aux!W52)+('[1]Modelo AHP'!$U$49*[1]aux!X52)</f>
        <v>5.624848632268727E-3</v>
      </c>
      <c r="S102" s="253">
        <f>[1]aux!Z52</f>
        <v>7.6362400776646151E-3</v>
      </c>
      <c r="T102" s="252">
        <f>('[1]Modelo AHP'!$U$56*[1]aux!AA52)+('[1]Modelo AHP'!$U$57*[1]aux!AB52)+('[1]Modelo AHP'!$U$58*[1]aux!AC52)+('[1]Modelo AHP'!$U$59*[1]aux!AD52)</f>
        <v>4.951918362780563E-3</v>
      </c>
      <c r="U102" s="251">
        <f>('[1]Modelo AHP'!$U$23*[1]aux!AE52)+('[1]Modelo AHP'!$U$24*[1]aux!AF52)+('[1]Modelo AHP'!$U$25*[1]aux!AG52)+('[1]Modelo AHP'!$U$26*[1]aux!AH52)+('[1]Modelo AHP'!$U$27*[1]aux!AI52)</f>
        <v>6.1617962425814573E-3</v>
      </c>
    </row>
    <row r="103" spans="1:21" ht="17.25" thickTop="1" thickBot="1">
      <c r="A103" s="260">
        <v>100</v>
      </c>
      <c r="B103" s="259" t="s">
        <v>29</v>
      </c>
      <c r="C103" s="258" t="s">
        <v>31</v>
      </c>
      <c r="D103" s="290">
        <v>4.33</v>
      </c>
      <c r="E103" s="291">
        <v>85.45</v>
      </c>
      <c r="F103" s="292">
        <v>25.2453653217012</v>
      </c>
      <c r="G103" s="293">
        <v>46144.621926852698</v>
      </c>
      <c r="H103" s="290">
        <v>6.17</v>
      </c>
      <c r="I103" s="294">
        <v>7.4649999999999999</v>
      </c>
      <c r="J103" s="295">
        <v>3.0468907224793722</v>
      </c>
      <c r="K103" s="257">
        <v>88542.87</v>
      </c>
      <c r="L103" s="255">
        <v>1.3496812800832574E-2</v>
      </c>
      <c r="M103" s="256">
        <v>128</v>
      </c>
      <c r="N103" s="255">
        <v>1.4999999999999999E-2</v>
      </c>
      <c r="O103" s="255">
        <v>2.4E-2</v>
      </c>
      <c r="P103" s="254">
        <f>('[1]Modelo AHP'!$U$37*[1]aux!P19)+('[1]Modelo AHP'!$U$38*[1]aux!R19)+('[1]Modelo AHP'!$U$39*[1]aux!S19)</f>
        <v>5.0440163701017957E-3</v>
      </c>
      <c r="Q103" s="253">
        <f>[1]aux!U19</f>
        <v>7.6271785702272318E-3</v>
      </c>
      <c r="R103" s="254">
        <f>('[1]Modelo AHP'!$U$47*[1]aux!V19)+('[1]Modelo AHP'!$U$48*[1]aux!W19)+('[1]Modelo AHP'!$U$49*[1]aux!X19)</f>
        <v>6.072968246189768E-3</v>
      </c>
      <c r="S103" s="253">
        <f>[1]aux!Z19</f>
        <v>7.6406289297097432E-3</v>
      </c>
      <c r="T103" s="252">
        <f>('[1]Modelo AHP'!$U$56*[1]aux!AA19)+('[1]Modelo AHP'!$U$57*[1]aux!AB19)+('[1]Modelo AHP'!$U$58*[1]aux!AC19)+('[1]Modelo AHP'!$U$59*[1]aux!AD19)</f>
        <v>2.1466223173517819E-3</v>
      </c>
      <c r="U103" s="251">
        <f>('[1]Modelo AHP'!$U$23*[1]aux!AE19)+('[1]Modelo AHP'!$U$24*[1]aux!AF19)+('[1]Modelo AHP'!$U$25*[1]aux!AG19)+('[1]Modelo AHP'!$U$26*[1]aux!AH19)+('[1]Modelo AHP'!$U$27*[1]aux!AI19)</f>
        <v>6.1529022290682522E-3</v>
      </c>
    </row>
    <row r="104" spans="1:21" ht="17.25" thickTop="1" thickBot="1">
      <c r="A104" s="260">
        <v>101</v>
      </c>
      <c r="B104" s="259" t="s">
        <v>122</v>
      </c>
      <c r="C104" s="258" t="s">
        <v>128</v>
      </c>
      <c r="D104" s="290">
        <v>5.3</v>
      </c>
      <c r="E104" s="291">
        <v>83.23</v>
      </c>
      <c r="F104" s="292">
        <v>14.30162560661911</v>
      </c>
      <c r="G104" s="293">
        <v>53809.729269838557</v>
      </c>
      <c r="H104" s="290">
        <v>4.8099999999999996</v>
      </c>
      <c r="I104" s="294">
        <v>6.6349999999999998</v>
      </c>
      <c r="J104" s="295">
        <v>3.3673435856992637</v>
      </c>
      <c r="K104" s="257">
        <v>114515.59</v>
      </c>
      <c r="L104" s="255">
        <v>3.2195456102294781E-2</v>
      </c>
      <c r="M104" s="256">
        <v>415</v>
      </c>
      <c r="N104" s="255">
        <v>3.5000000000000003E-2</v>
      </c>
      <c r="O104" s="255">
        <v>0.04</v>
      </c>
      <c r="P104" s="254">
        <f>('[1]Modelo AHP'!$U$37*[1]aux!P110)+('[1]Modelo AHP'!$U$38*[1]aux!R110)+('[1]Modelo AHP'!$U$39*[1]aux!S110)</f>
        <v>3.9071536179799563E-3</v>
      </c>
      <c r="Q104" s="253">
        <f>[1]aux!U110</f>
        <v>7.6163599376097065E-3</v>
      </c>
      <c r="R104" s="254">
        <f>('[1]Modelo AHP'!$U$47*[1]aux!V110)+('[1]Modelo AHP'!$U$48*[1]aux!W110)+('[1]Modelo AHP'!$U$49*[1]aux!X110)</f>
        <v>5.743130882827515E-3</v>
      </c>
      <c r="S104" s="253">
        <f>[1]aux!Z110</f>
        <v>7.6254697415006536E-3</v>
      </c>
      <c r="T104" s="252">
        <f>('[1]Modelo AHP'!$U$56*[1]aux!AA110)+('[1]Modelo AHP'!$U$57*[1]aux!AB110)+('[1]Modelo AHP'!$U$58*[1]aux!AC110)+('[1]Modelo AHP'!$U$59*[1]aux!AD110)</f>
        <v>5.2314312249206515E-3</v>
      </c>
      <c r="U104" s="251">
        <f>('[1]Modelo AHP'!$U$23*[1]aux!AE110)+('[1]Modelo AHP'!$U$24*[1]aux!AF110)+('[1]Modelo AHP'!$U$25*[1]aux!AG110)+('[1]Modelo AHP'!$U$26*[1]aux!AH110)+('[1]Modelo AHP'!$U$27*[1]aux!AI110)</f>
        <v>6.1346293430513598E-3</v>
      </c>
    </row>
    <row r="105" spans="1:21" ht="17.25" thickTop="1" thickBot="1">
      <c r="A105" s="260">
        <v>102</v>
      </c>
      <c r="B105" s="259" t="s">
        <v>29</v>
      </c>
      <c r="C105" s="258" t="s">
        <v>32</v>
      </c>
      <c r="D105" s="290">
        <v>5.89</v>
      </c>
      <c r="E105" s="291">
        <v>85.39</v>
      </c>
      <c r="F105" s="292">
        <v>22.188449848024316</v>
      </c>
      <c r="G105" s="293">
        <v>46829.309806687961</v>
      </c>
      <c r="H105" s="290">
        <v>5.67</v>
      </c>
      <c r="I105" s="294">
        <v>7.2949999999999999</v>
      </c>
      <c r="J105" s="295">
        <v>3.0468907224793722</v>
      </c>
      <c r="K105" s="257">
        <v>160058.20000000001</v>
      </c>
      <c r="L105" s="255">
        <v>1.3496812800832574E-2</v>
      </c>
      <c r="M105" s="256">
        <v>128</v>
      </c>
      <c r="N105" s="255">
        <v>1.4999999999999999E-2</v>
      </c>
      <c r="O105" s="255">
        <v>2.4E-2</v>
      </c>
      <c r="P105" s="254">
        <f>('[1]Modelo AHP'!$U$37*[1]aux!P21)+('[1]Modelo AHP'!$U$38*[1]aux!R21)+('[1]Modelo AHP'!$U$39*[1]aux!S21)</f>
        <v>5.051798357750833E-3</v>
      </c>
      <c r="Q105" s="253">
        <f>[1]aux!U21</f>
        <v>7.6262121928109532E-3</v>
      </c>
      <c r="R105" s="254">
        <f>('[1]Modelo AHP'!$U$47*[1]aux!V21)+('[1]Modelo AHP'!$U$48*[1]aux!W21)+('[1]Modelo AHP'!$U$49*[1]aux!X21)</f>
        <v>5.9193925121399926E-3</v>
      </c>
      <c r="S105" s="253">
        <f>[1]aux!Z21</f>
        <v>7.5988884286261006E-3</v>
      </c>
      <c r="T105" s="252">
        <f>('[1]Modelo AHP'!$U$56*[1]aux!AA21)+('[1]Modelo AHP'!$U$57*[1]aux!AB21)+('[1]Modelo AHP'!$U$58*[1]aux!AC21)+('[1]Modelo AHP'!$U$59*[1]aux!AD21)</f>
        <v>2.1466223173517819E-3</v>
      </c>
      <c r="U105" s="251">
        <f>('[1]Modelo AHP'!$U$23*[1]aux!AE21)+('[1]Modelo AHP'!$U$24*[1]aux!AF21)+('[1]Modelo AHP'!$U$25*[1]aux!AG21)+('[1]Modelo AHP'!$U$26*[1]aux!AH21)+('[1]Modelo AHP'!$U$27*[1]aux!AI21)</f>
        <v>6.0982715087439165E-3</v>
      </c>
    </row>
    <row r="106" spans="1:21" ht="17.25" thickTop="1" thickBot="1">
      <c r="A106" s="260">
        <v>103</v>
      </c>
      <c r="B106" s="259" t="s">
        <v>70</v>
      </c>
      <c r="C106" s="258" t="s">
        <v>72</v>
      </c>
      <c r="D106" s="290">
        <v>7.14</v>
      </c>
      <c r="E106" s="291">
        <v>86.67</v>
      </c>
      <c r="F106" s="292">
        <v>19.905717761557177</v>
      </c>
      <c r="G106" s="293">
        <v>52002.947036629535</v>
      </c>
      <c r="H106" s="290">
        <v>5.18</v>
      </c>
      <c r="I106" s="294">
        <v>6.835</v>
      </c>
      <c r="J106" s="295">
        <v>2.8073860836639954</v>
      </c>
      <c r="K106" s="257">
        <v>200588.79999999999</v>
      </c>
      <c r="L106" s="255">
        <v>2.5117559353136826E-2</v>
      </c>
      <c r="M106" s="256">
        <v>245</v>
      </c>
      <c r="N106" s="255">
        <v>2.3E-2</v>
      </c>
      <c r="O106" s="255">
        <v>2.9000000000000001E-2</v>
      </c>
      <c r="P106" s="254">
        <f>('[1]Modelo AHP'!$U$37*[1]aux!P57)+('[1]Modelo AHP'!$U$38*[1]aux!R57)+('[1]Modelo AHP'!$U$39*[1]aux!S57)</f>
        <v>5.078993625502186E-3</v>
      </c>
      <c r="Q106" s="253">
        <f>[1]aux!U57</f>
        <v>7.6189100536519627E-3</v>
      </c>
      <c r="R106" s="254">
        <f>('[1]Modelo AHP'!$U$47*[1]aux!V57)+('[1]Modelo AHP'!$U$48*[1]aux!W57)+('[1]Modelo AHP'!$U$49*[1]aux!X57)</f>
        <v>5.4889421052497639E-3</v>
      </c>
      <c r="S106" s="253">
        <f>[1]aux!Z57</f>
        <v>7.5752324159471321E-3</v>
      </c>
      <c r="T106" s="252">
        <f>('[1]Modelo AHP'!$U$56*[1]aux!AA57)+('[1]Modelo AHP'!$U$57*[1]aux!AB57)+('[1]Modelo AHP'!$U$58*[1]aux!AC57)+('[1]Modelo AHP'!$U$59*[1]aux!AD57)</f>
        <v>3.5026876219161345E-3</v>
      </c>
      <c r="U106" s="251">
        <f>('[1]Modelo AHP'!$U$23*[1]aux!AE57)+('[1]Modelo AHP'!$U$24*[1]aux!AF57)+('[1]Modelo AHP'!$U$25*[1]aux!AG57)+('[1]Modelo AHP'!$U$26*[1]aux!AH57)+('[1]Modelo AHP'!$U$27*[1]aux!AI57)</f>
        <v>6.0785335060592697E-3</v>
      </c>
    </row>
    <row r="107" spans="1:21" ht="17.25" thickTop="1" thickBot="1">
      <c r="A107" s="260">
        <v>104</v>
      </c>
      <c r="B107" s="259" t="s">
        <v>55</v>
      </c>
      <c r="C107" s="258" t="s">
        <v>60</v>
      </c>
      <c r="D107" s="290">
        <v>6.17</v>
      </c>
      <c r="E107" s="291">
        <v>84.78</v>
      </c>
      <c r="F107" s="292">
        <v>20.568614282516229</v>
      </c>
      <c r="G107" s="293">
        <v>49812.688499088188</v>
      </c>
      <c r="H107" s="290">
        <v>5.27</v>
      </c>
      <c r="I107" s="294">
        <v>7.18</v>
      </c>
      <c r="J107" s="295">
        <v>2.703855152959699</v>
      </c>
      <c r="K107" s="257">
        <v>120876.72</v>
      </c>
      <c r="L107" s="255">
        <v>2.7428537540030839E-2</v>
      </c>
      <c r="M107" s="256">
        <v>160</v>
      </c>
      <c r="N107" s="255">
        <v>2.7E-2</v>
      </c>
      <c r="O107" s="255">
        <v>3.3000000000000002E-2</v>
      </c>
      <c r="P107" s="254">
        <f>('[1]Modelo AHP'!$U$37*[1]aux!P46)+('[1]Modelo AHP'!$U$38*[1]aux!R46)+('[1]Modelo AHP'!$U$39*[1]aux!S46)</f>
        <v>4.9179817315948386E-3</v>
      </c>
      <c r="Q107" s="253">
        <f>[1]aux!U46</f>
        <v>7.6220014131587206E-3</v>
      </c>
      <c r="R107" s="254">
        <f>('[1]Modelo AHP'!$U$47*[1]aux!V46)+('[1]Modelo AHP'!$U$48*[1]aux!W46)+('[1]Modelo AHP'!$U$49*[1]aux!X46)</f>
        <v>5.5619698717315749E-3</v>
      </c>
      <c r="S107" s="253">
        <f>[1]aux!Z46</f>
        <v>7.6217570164994796E-3</v>
      </c>
      <c r="T107" s="252">
        <f>('[1]Modelo AHP'!$U$56*[1]aux!AA46)+('[1]Modelo AHP'!$U$57*[1]aux!AB46)+('[1]Modelo AHP'!$U$58*[1]aux!AC46)+('[1]Modelo AHP'!$U$59*[1]aux!AD46)</f>
        <v>3.4472446780921067E-3</v>
      </c>
      <c r="U107" s="251">
        <f>('[1]Modelo AHP'!$U$23*[1]aux!AE46)+('[1]Modelo AHP'!$U$24*[1]aux!AF46)+('[1]Modelo AHP'!$U$25*[1]aux!AG46)+('[1]Modelo AHP'!$U$26*[1]aux!AH46)+('[1]Modelo AHP'!$U$27*[1]aux!AI46)</f>
        <v>6.0759217445072785E-3</v>
      </c>
    </row>
    <row r="108" spans="1:21" ht="17.25" thickTop="1" thickBot="1">
      <c r="A108" s="260">
        <v>105</v>
      </c>
      <c r="B108" s="259" t="s">
        <v>34</v>
      </c>
      <c r="C108" s="258" t="s">
        <v>38</v>
      </c>
      <c r="D108" s="290">
        <v>6.34</v>
      </c>
      <c r="E108" s="291">
        <v>85.05</v>
      </c>
      <c r="F108" s="292">
        <v>20.692939635670914</v>
      </c>
      <c r="G108" s="293">
        <v>46915.951826041404</v>
      </c>
      <c r="H108" s="290">
        <v>5.56</v>
      </c>
      <c r="I108" s="294">
        <v>7.4499999999999993</v>
      </c>
      <c r="J108" s="295">
        <v>2.5515857253360652</v>
      </c>
      <c r="K108" s="257">
        <v>114653.63</v>
      </c>
      <c r="L108" s="255">
        <v>2.7153209406238363E-2</v>
      </c>
      <c r="M108" s="256">
        <v>128</v>
      </c>
      <c r="N108" s="255">
        <v>1.9E-2</v>
      </c>
      <c r="O108" s="255">
        <v>2.5000000000000001E-2</v>
      </c>
      <c r="P108" s="254">
        <f>('[1]Modelo AHP'!$U$37*[1]aux!P27)+('[1]Modelo AHP'!$U$38*[1]aux!R27)+('[1]Modelo AHP'!$U$39*[1]aux!S27)</f>
        <v>4.9765728047577677E-3</v>
      </c>
      <c r="Q108" s="253">
        <f>[1]aux!U27</f>
        <v>7.6260899051332105E-3</v>
      </c>
      <c r="R108" s="254">
        <f>('[1]Modelo AHP'!$U$47*[1]aux!V27)+('[1]Modelo AHP'!$U$48*[1]aux!W27)+('[1]Modelo AHP'!$U$49*[1]aux!X27)</f>
        <v>5.6080477405654108E-3</v>
      </c>
      <c r="S108" s="253">
        <f>[1]aux!Z27</f>
        <v>7.6253891733375819E-3</v>
      </c>
      <c r="T108" s="252">
        <f>('[1]Modelo AHP'!$U$56*[1]aux!AA27)+('[1]Modelo AHP'!$U$57*[1]aux!AB27)+('[1]Modelo AHP'!$U$58*[1]aux!AC27)+('[1]Modelo AHP'!$U$59*[1]aux!AD27)</f>
        <v>2.7977118641345118E-3</v>
      </c>
      <c r="U108" s="251">
        <f>('[1]Modelo AHP'!$U$23*[1]aux!AE27)+('[1]Modelo AHP'!$U$24*[1]aux!AF27)+('[1]Modelo AHP'!$U$25*[1]aux!AG27)+('[1]Modelo AHP'!$U$26*[1]aux!AH27)+('[1]Modelo AHP'!$U$27*[1]aux!AI27)</f>
        <v>6.042229267101005E-3</v>
      </c>
    </row>
    <row r="109" spans="1:21" ht="17.25" thickTop="1" thickBot="1">
      <c r="A109" s="260">
        <v>106</v>
      </c>
      <c r="B109" s="259" t="s">
        <v>113</v>
      </c>
      <c r="C109" s="258" t="s">
        <v>120</v>
      </c>
      <c r="D109" s="290">
        <v>5.36</v>
      </c>
      <c r="E109" s="291">
        <v>86.41</v>
      </c>
      <c r="F109" s="292">
        <v>15.891132572431959</v>
      </c>
      <c r="G109" s="293">
        <v>71758</v>
      </c>
      <c r="H109" s="290">
        <v>3.35</v>
      </c>
      <c r="I109" s="294">
        <v>3.9550000000000001</v>
      </c>
      <c r="J109" s="295">
        <v>3.9481884365881985</v>
      </c>
      <c r="K109" s="261">
        <v>165422.10999999999</v>
      </c>
      <c r="L109" s="255">
        <v>3.5803244162734657E-2</v>
      </c>
      <c r="M109" s="256">
        <v>615</v>
      </c>
      <c r="N109" s="255">
        <v>3.5000000000000003E-2</v>
      </c>
      <c r="O109" s="255">
        <v>4.5999999999999999E-2</v>
      </c>
      <c r="P109" s="254">
        <f>('[1]Modelo AHP'!$U$37*[1]aux!P103)+('[1]Modelo AHP'!$U$38*[1]aux!R103)+('[1]Modelo AHP'!$U$39*[1]aux!S103)</f>
        <v>4.1227852656078312E-3</v>
      </c>
      <c r="Q109" s="253">
        <f>[1]aux!U103</f>
        <v>7.5910275138795728E-3</v>
      </c>
      <c r="R109" s="254">
        <f>('[1]Modelo AHP'!$U$47*[1]aux!V103)+('[1]Modelo AHP'!$U$48*[1]aux!W103)+('[1]Modelo AHP'!$U$49*[1]aux!X103)</f>
        <v>4.8817887055285147E-3</v>
      </c>
      <c r="S109" s="253">
        <f>[1]aux!Z103</f>
        <v>7.5957577391478097E-3</v>
      </c>
      <c r="T109" s="252">
        <f>('[1]Modelo AHP'!$U$56*[1]aux!AA103)+('[1]Modelo AHP'!$U$57*[1]aux!AB103)+('[1]Modelo AHP'!$U$58*[1]aux!AC103)+('[1]Modelo AHP'!$U$59*[1]aux!AD103)</f>
        <v>6.3745039062373214E-3</v>
      </c>
      <c r="U109" s="251">
        <f>('[1]Modelo AHP'!$U$23*[1]aux!AE103)+('[1]Modelo AHP'!$U$24*[1]aux!AF103)+('[1]Modelo AHP'!$U$25*[1]aux!AG103)+('[1]Modelo AHP'!$U$26*[1]aux!AH103)+('[1]Modelo AHP'!$U$27*[1]aux!AI103)</f>
        <v>5.9728796100104696E-3</v>
      </c>
    </row>
    <row r="110" spans="1:21" ht="17.25" thickTop="1" thickBot="1">
      <c r="A110" s="260">
        <v>107</v>
      </c>
      <c r="B110" s="259" t="s">
        <v>122</v>
      </c>
      <c r="C110" s="258" t="s">
        <v>123</v>
      </c>
      <c r="D110" s="290">
        <v>3.49</v>
      </c>
      <c r="E110" s="291">
        <v>83.78</v>
      </c>
      <c r="F110" s="292">
        <v>12.505446623093682</v>
      </c>
      <c r="G110" s="293">
        <v>82127.242000787897</v>
      </c>
      <c r="H110" s="290">
        <v>4.5599999999999996</v>
      </c>
      <c r="I110" s="294">
        <v>6.3949999999999996</v>
      </c>
      <c r="J110" s="295">
        <v>3.3673435856992637</v>
      </c>
      <c r="K110" s="257">
        <v>144910.85</v>
      </c>
      <c r="L110" s="255">
        <v>3.2195456102294781E-2</v>
      </c>
      <c r="M110" s="256">
        <v>415</v>
      </c>
      <c r="N110" s="255">
        <v>3.5000000000000003E-2</v>
      </c>
      <c r="O110" s="255">
        <v>0.04</v>
      </c>
      <c r="P110" s="254">
        <f>('[1]Modelo AHP'!$U$37*[1]aux!P105)+('[1]Modelo AHP'!$U$38*[1]aux!R105)+('[1]Modelo AHP'!$U$39*[1]aux!S105)</f>
        <v>3.2234341377374532E-3</v>
      </c>
      <c r="Q110" s="253">
        <f>[1]aux!U105</f>
        <v>7.5763922302874414E-3</v>
      </c>
      <c r="R110" s="254">
        <f>('[1]Modelo AHP'!$U$47*[1]aux!V105)+('[1]Modelo AHP'!$U$48*[1]aux!W105)+('[1]Modelo AHP'!$U$49*[1]aux!X105)</f>
        <v>5.6078891534531005E-3</v>
      </c>
      <c r="S110" s="253">
        <f>[1]aux!Z105</f>
        <v>7.6077293020316954E-3</v>
      </c>
      <c r="T110" s="252">
        <f>('[1]Modelo AHP'!$U$56*[1]aux!AA105)+('[1]Modelo AHP'!$U$57*[1]aux!AB105)+('[1]Modelo AHP'!$U$58*[1]aux!AC105)+('[1]Modelo AHP'!$U$59*[1]aux!AD105)</f>
        <v>5.2314312249206515E-3</v>
      </c>
      <c r="U110" s="251">
        <f>('[1]Modelo AHP'!$U$23*[1]aux!AE105)+('[1]Modelo AHP'!$U$24*[1]aux!AF105)+('[1]Modelo AHP'!$U$25*[1]aux!AG105)+('[1]Modelo AHP'!$U$26*[1]aux!AH105)+('[1]Modelo AHP'!$U$27*[1]aux!AI105)</f>
        <v>5.9600837113277195E-3</v>
      </c>
    </row>
    <row r="111" spans="1:21" ht="17.25" thickTop="1" thickBot="1">
      <c r="A111" s="260">
        <v>108</v>
      </c>
      <c r="B111" s="259" t="s">
        <v>24</v>
      </c>
      <c r="C111" s="258" t="s">
        <v>26</v>
      </c>
      <c r="D111" s="290">
        <v>4.12</v>
      </c>
      <c r="E111" s="291">
        <v>85.65</v>
      </c>
      <c r="F111" s="292">
        <v>16.584611056407372</v>
      </c>
      <c r="G111" s="293">
        <v>50471.944991068405</v>
      </c>
      <c r="H111" s="290">
        <v>5</v>
      </c>
      <c r="I111" s="294">
        <v>5.7149999999999999</v>
      </c>
      <c r="J111" s="295">
        <v>3.3840580393784729</v>
      </c>
      <c r="K111" s="257">
        <v>89149.77</v>
      </c>
      <c r="L111" s="255">
        <v>3.275315388247993E-2</v>
      </c>
      <c r="M111" s="256">
        <v>276</v>
      </c>
      <c r="N111" s="255">
        <v>2.9000000000000001E-2</v>
      </c>
      <c r="O111" s="255">
        <v>3.7037037037037035E-2</v>
      </c>
      <c r="P111" s="254">
        <f>('[1]Modelo AHP'!$U$37*[1]aux!P14)+('[1]Modelo AHP'!$U$38*[1]aux!R14)+('[1]Modelo AHP'!$U$39*[1]aux!S14)</f>
        <v>3.8974036098986375E-3</v>
      </c>
      <c r="Q111" s="253">
        <f>[1]aux!U14</f>
        <v>7.6210709299354192E-3</v>
      </c>
      <c r="R111" s="254">
        <f>('[1]Modelo AHP'!$U$47*[1]aux!V14)+('[1]Modelo AHP'!$U$48*[1]aux!W14)+('[1]Modelo AHP'!$U$49*[1]aux!X14)</f>
        <v>5.4419905918400872E-3</v>
      </c>
      <c r="S111" s="253">
        <f>[1]aux!Z14</f>
        <v>7.6402747076134781E-3</v>
      </c>
      <c r="T111" s="252">
        <f>('[1]Modelo AHP'!$U$56*[1]aux!AA14)+('[1]Modelo AHP'!$U$57*[1]aux!AB14)+('[1]Modelo AHP'!$U$58*[1]aux!AC14)+('[1]Modelo AHP'!$U$59*[1]aux!AD14)</f>
        <v>4.3148232686282583E-3</v>
      </c>
      <c r="U111" s="251">
        <f>('[1]Modelo AHP'!$U$23*[1]aux!AE14)+('[1]Modelo AHP'!$U$24*[1]aux!AF14)+('[1]Modelo AHP'!$U$25*[1]aux!AG14)+('[1]Modelo AHP'!$U$26*[1]aux!AH14)+('[1]Modelo AHP'!$U$27*[1]aux!AI14)</f>
        <v>5.9469156459537355E-3</v>
      </c>
    </row>
    <row r="112" spans="1:21" ht="17.25" thickTop="1" thickBot="1">
      <c r="A112" s="260">
        <v>109</v>
      </c>
      <c r="B112" s="259" t="s">
        <v>34</v>
      </c>
      <c r="C112" s="258" t="s">
        <v>39</v>
      </c>
      <c r="D112" s="290">
        <v>7.42</v>
      </c>
      <c r="E112" s="291">
        <v>85.99</v>
      </c>
      <c r="F112" s="292">
        <v>18.543007261349548</v>
      </c>
      <c r="G112" s="293">
        <v>49641.190872657826</v>
      </c>
      <c r="H112" s="290">
        <v>4.83</v>
      </c>
      <c r="I112" s="294">
        <v>6.96</v>
      </c>
      <c r="J112" s="295">
        <v>2.5515857253360652</v>
      </c>
      <c r="K112" s="257">
        <v>152272.01</v>
      </c>
      <c r="L112" s="255">
        <v>2.7153209406238363E-2</v>
      </c>
      <c r="M112" s="256">
        <v>128</v>
      </c>
      <c r="N112" s="255">
        <v>1.9E-2</v>
      </c>
      <c r="O112" s="255">
        <v>2.5000000000000001E-2</v>
      </c>
      <c r="P112" s="254">
        <f>('[1]Modelo AHP'!$U$37*[1]aux!P28)+('[1]Modelo AHP'!$U$38*[1]aux!R28)+('[1]Modelo AHP'!$U$39*[1]aux!S28)</f>
        <v>4.9776489511078777E-3</v>
      </c>
      <c r="Q112" s="253">
        <f>[1]aux!U28</f>
        <v>7.6222434671485871E-3</v>
      </c>
      <c r="R112" s="254">
        <f>('[1]Modelo AHP'!$U$47*[1]aux!V28)+('[1]Modelo AHP'!$U$48*[1]aux!W28)+('[1]Modelo AHP'!$U$49*[1]aux!X28)</f>
        <v>5.2926391435874787E-3</v>
      </c>
      <c r="S112" s="253">
        <f>[1]aux!Z28</f>
        <v>7.6034329014284001E-3</v>
      </c>
      <c r="T112" s="252">
        <f>('[1]Modelo AHP'!$U$56*[1]aux!AA28)+('[1]Modelo AHP'!$U$57*[1]aux!AB28)+('[1]Modelo AHP'!$U$58*[1]aux!AC28)+('[1]Modelo AHP'!$U$59*[1]aux!AD28)</f>
        <v>2.7977118641345118E-3</v>
      </c>
      <c r="U112" s="251">
        <f>('[1]Modelo AHP'!$U$23*[1]aux!AE28)+('[1]Modelo AHP'!$U$24*[1]aux!AF28)+('[1]Modelo AHP'!$U$25*[1]aux!AG28)+('[1]Modelo AHP'!$U$26*[1]aux!AH28)+('[1]Modelo AHP'!$U$27*[1]aux!AI28)</f>
        <v>5.9317346459209427E-3</v>
      </c>
    </row>
    <row r="113" spans="1:21" ht="17.25" thickTop="1" thickBot="1">
      <c r="A113" s="260">
        <v>110</v>
      </c>
      <c r="B113" s="259" t="s">
        <v>41</v>
      </c>
      <c r="C113" s="258" t="s">
        <v>47</v>
      </c>
      <c r="D113" s="290">
        <v>4.82</v>
      </c>
      <c r="E113" s="291">
        <v>86.55</v>
      </c>
      <c r="F113" s="292">
        <v>17.423955093681258</v>
      </c>
      <c r="G113" s="293">
        <v>56554.143514980584</v>
      </c>
      <c r="H113" s="290">
        <v>5.34</v>
      </c>
      <c r="I113" s="294">
        <v>7.96</v>
      </c>
      <c r="J113" s="295">
        <v>2.5063762470002047</v>
      </c>
      <c r="K113" s="257">
        <v>106808.86</v>
      </c>
      <c r="L113" s="255">
        <v>1.8523972199316764E-2</v>
      </c>
      <c r="M113" s="256">
        <v>148</v>
      </c>
      <c r="N113" s="255">
        <v>1.4999999999999999E-2</v>
      </c>
      <c r="O113" s="255">
        <v>2.5768641771704601E-2</v>
      </c>
      <c r="P113" s="254">
        <f>('[1]Modelo AHP'!$U$37*[1]aux!P35)+('[1]Modelo AHP'!$U$38*[1]aux!R35)+('[1]Modelo AHP'!$U$39*[1]aux!S35)</f>
        <v>4.1800183628793539E-3</v>
      </c>
      <c r="Q113" s="253">
        <f>[1]aux!U35</f>
        <v>7.6124864354994385E-3</v>
      </c>
      <c r="R113" s="254">
        <f>('[1]Modelo AHP'!$U$47*[1]aux!V35)+('[1]Modelo AHP'!$U$48*[1]aux!W35)+('[1]Modelo AHP'!$U$49*[1]aux!X35)</f>
        <v>5.7290579521125738E-3</v>
      </c>
      <c r="S113" s="253">
        <f>[1]aux!Z35</f>
        <v>7.6299678368309315E-3</v>
      </c>
      <c r="T113" s="252">
        <f>('[1]Modelo AHP'!$U$56*[1]aux!AA35)+('[1]Modelo AHP'!$U$57*[1]aux!AB35)+('[1]Modelo AHP'!$U$58*[1]aux!AC35)+('[1]Modelo AHP'!$U$59*[1]aux!AD35)</f>
        <v>2.4430501977902698E-3</v>
      </c>
      <c r="U113" s="251">
        <f>('[1]Modelo AHP'!$U$23*[1]aux!AE35)+('[1]Modelo AHP'!$U$24*[1]aux!AF35)+('[1]Modelo AHP'!$U$25*[1]aux!AG35)+('[1]Modelo AHP'!$U$26*[1]aux!AH35)+('[1]Modelo AHP'!$U$27*[1]aux!AI35)</f>
        <v>5.9134010097303584E-3</v>
      </c>
    </row>
    <row r="114" spans="1:21" ht="17.25" thickTop="1" thickBot="1">
      <c r="A114" s="260">
        <v>111</v>
      </c>
      <c r="B114" s="259" t="s">
        <v>147</v>
      </c>
      <c r="C114" s="258" t="s">
        <v>148</v>
      </c>
      <c r="D114" s="290">
        <v>2.59</v>
      </c>
      <c r="E114" s="291">
        <v>84.7</v>
      </c>
      <c r="F114" s="292">
        <v>20.602776837114799</v>
      </c>
      <c r="G114" s="293">
        <v>52966.258089558265</v>
      </c>
      <c r="H114" s="290">
        <v>5.33</v>
      </c>
      <c r="I114" s="294">
        <v>6.9550000000000001</v>
      </c>
      <c r="J114" s="295">
        <v>2.8390176496451227</v>
      </c>
      <c r="K114" s="257">
        <v>88681.16</v>
      </c>
      <c r="L114" s="255">
        <v>2.4022988505747127E-2</v>
      </c>
      <c r="M114" s="256">
        <v>80</v>
      </c>
      <c r="N114" s="255">
        <v>2.5999999999999999E-2</v>
      </c>
      <c r="O114" s="255">
        <v>3.1E-2</v>
      </c>
      <c r="P114" s="254">
        <f>('[1]Modelo AHP'!$U$37*[1]aux!P131)+('[1]Modelo AHP'!$U$38*[1]aux!R131)+('[1]Modelo AHP'!$U$39*[1]aux!S131)</f>
        <v>4.0186408882249879E-3</v>
      </c>
      <c r="Q114" s="253">
        <f>[1]aux!U131</f>
        <v>7.6175504238500955E-3</v>
      </c>
      <c r="R114" s="254">
        <f>('[1]Modelo AHP'!$U$47*[1]aux!V131)+('[1]Modelo AHP'!$U$48*[1]aux!W131)+('[1]Modelo AHP'!$U$49*[1]aux!X131)</f>
        <v>5.5833956324325097E-3</v>
      </c>
      <c r="S114" s="253">
        <f>[1]aux!Z131</f>
        <v>7.640548215632148E-3</v>
      </c>
      <c r="T114" s="252">
        <f>('[1]Modelo AHP'!$U$56*[1]aux!AA131)+('[1]Modelo AHP'!$U$57*[1]aux!AB131)+('[1]Modelo AHP'!$U$58*[1]aux!AC131)+('[1]Modelo AHP'!$U$59*[1]aux!AD131)</f>
        <v>2.8897023671300669E-3</v>
      </c>
      <c r="U114" s="251">
        <f>('[1]Modelo AHP'!$U$23*[1]aux!AE131)+('[1]Modelo AHP'!$U$24*[1]aux!AF131)+('[1]Modelo AHP'!$U$25*[1]aux!AG131)+('[1]Modelo AHP'!$U$26*[1]aux!AH131)+('[1]Modelo AHP'!$U$27*[1]aux!AI131)</f>
        <v>5.8809368498614874E-3</v>
      </c>
    </row>
    <row r="115" spans="1:21" ht="17.25" thickTop="1" thickBot="1">
      <c r="A115" s="260">
        <v>112</v>
      </c>
      <c r="B115" s="259" t="s">
        <v>34</v>
      </c>
      <c r="C115" s="258" t="s">
        <v>36</v>
      </c>
      <c r="D115" s="290">
        <v>7.29</v>
      </c>
      <c r="E115" s="291">
        <v>85.62</v>
      </c>
      <c r="F115" s="292">
        <v>19.233158047285826</v>
      </c>
      <c r="G115" s="293">
        <v>50739.084967341667</v>
      </c>
      <c r="H115" s="290">
        <v>4.7699999999999996</v>
      </c>
      <c r="I115" s="294">
        <v>6.4350000000000005</v>
      </c>
      <c r="J115" s="295">
        <v>2.5515857253360652</v>
      </c>
      <c r="K115" s="257">
        <v>156823.97</v>
      </c>
      <c r="L115" s="255">
        <v>2.7153209406238363E-2</v>
      </c>
      <c r="M115" s="256">
        <v>128</v>
      </c>
      <c r="N115" s="255">
        <v>1.9E-2</v>
      </c>
      <c r="O115" s="255">
        <v>2.5000000000000001E-2</v>
      </c>
      <c r="P115" s="254">
        <f>('[1]Modelo AHP'!$U$37*[1]aux!P25)+('[1]Modelo AHP'!$U$38*[1]aux!R25)+('[1]Modelo AHP'!$U$39*[1]aux!S25)</f>
        <v>5.0320052247313975E-3</v>
      </c>
      <c r="Q115" s="253">
        <f>[1]aux!U25</f>
        <v>7.6206938850838036E-3</v>
      </c>
      <c r="R115" s="254">
        <f>('[1]Modelo AHP'!$U$47*[1]aux!V25)+('[1]Modelo AHP'!$U$48*[1]aux!W25)+('[1]Modelo AHP'!$U$49*[1]aux!X25)</f>
        <v>5.0839144494268561E-3</v>
      </c>
      <c r="S115" s="253">
        <f>[1]aux!Z25</f>
        <v>7.6007761131382159E-3</v>
      </c>
      <c r="T115" s="252">
        <f>('[1]Modelo AHP'!$U$56*[1]aux!AA25)+('[1]Modelo AHP'!$U$57*[1]aux!AB25)+('[1]Modelo AHP'!$U$58*[1]aux!AC25)+('[1]Modelo AHP'!$U$59*[1]aux!AD25)</f>
        <v>2.7977118641345118E-3</v>
      </c>
      <c r="U115" s="251">
        <f>('[1]Modelo AHP'!$U$23*[1]aux!AE25)+('[1]Modelo AHP'!$U$24*[1]aux!AF25)+('[1]Modelo AHP'!$U$25*[1]aux!AG25)+('[1]Modelo AHP'!$U$26*[1]aux!AH25)+('[1]Modelo AHP'!$U$27*[1]aux!AI25)</f>
        <v>5.8687797066534573E-3</v>
      </c>
    </row>
    <row r="116" spans="1:21" ht="17.25" thickTop="1" thickBot="1">
      <c r="A116" s="260">
        <v>113</v>
      </c>
      <c r="B116" s="259" t="s">
        <v>62</v>
      </c>
      <c r="C116" s="258" t="s">
        <v>64</v>
      </c>
      <c r="D116" s="290">
        <v>4.59</v>
      </c>
      <c r="E116" s="291">
        <v>86.4</v>
      </c>
      <c r="F116" s="292">
        <v>15.339233038348082</v>
      </c>
      <c r="G116" s="293">
        <v>79413.251321153861</v>
      </c>
      <c r="H116" s="290">
        <v>4.18</v>
      </c>
      <c r="I116" s="294">
        <v>5.6749999999999998</v>
      </c>
      <c r="J116" s="295">
        <v>3.1354236157438291</v>
      </c>
      <c r="K116" s="257">
        <v>173080.95999999999</v>
      </c>
      <c r="L116" s="255">
        <v>2.3938872821074025E-2</v>
      </c>
      <c r="M116" s="256">
        <v>498</v>
      </c>
      <c r="N116" s="255">
        <v>2.9000000000000001E-2</v>
      </c>
      <c r="O116" s="255">
        <v>3.4000000000000002E-2</v>
      </c>
      <c r="P116" s="254">
        <f>('[1]Modelo AHP'!$U$37*[1]aux!P49)+('[1]Modelo AHP'!$U$38*[1]aux!R49)+('[1]Modelo AHP'!$U$39*[1]aux!S49)</f>
        <v>3.8587351218098294E-3</v>
      </c>
      <c r="Q116" s="253">
        <f>[1]aux!U49</f>
        <v>7.5802227921799911E-3</v>
      </c>
      <c r="R116" s="254">
        <f>('[1]Modelo AHP'!$U$47*[1]aux!V49)+('[1]Modelo AHP'!$U$48*[1]aux!W49)+('[1]Modelo AHP'!$U$49*[1]aux!X49)</f>
        <v>5.1044307927895268E-3</v>
      </c>
      <c r="S116" s="253">
        <f>[1]aux!Z49</f>
        <v>7.5912875893669931E-3</v>
      </c>
      <c r="T116" s="252">
        <f>('[1]Modelo AHP'!$U$56*[1]aux!AA49)+('[1]Modelo AHP'!$U$57*[1]aux!AB49)+('[1]Modelo AHP'!$U$58*[1]aux!AC49)+('[1]Modelo AHP'!$U$59*[1]aux!AD49)</f>
        <v>4.951918362780563E-3</v>
      </c>
      <c r="U116" s="251">
        <f>('[1]Modelo AHP'!$U$23*[1]aux!AE49)+('[1]Modelo AHP'!$U$24*[1]aux!AF49)+('[1]Modelo AHP'!$U$25*[1]aux!AG49)+('[1]Modelo AHP'!$U$26*[1]aux!AH49)+('[1]Modelo AHP'!$U$27*[1]aux!AI49)</f>
        <v>5.867893767846054E-3</v>
      </c>
    </row>
    <row r="117" spans="1:21" ht="17.25" thickTop="1" thickBot="1">
      <c r="A117" s="260">
        <v>114</v>
      </c>
      <c r="B117" s="259" t="s">
        <v>70</v>
      </c>
      <c r="C117" s="258" t="s">
        <v>73</v>
      </c>
      <c r="D117" s="290">
        <v>6.67</v>
      </c>
      <c r="E117" s="291">
        <v>86.41</v>
      </c>
      <c r="F117" s="292">
        <v>17.638646114730655</v>
      </c>
      <c r="G117" s="293">
        <v>61443.988350595595</v>
      </c>
      <c r="H117" s="290">
        <v>4.29</v>
      </c>
      <c r="I117" s="294">
        <v>5.8149999999999995</v>
      </c>
      <c r="J117" s="295">
        <v>2.8073860836639954</v>
      </c>
      <c r="K117" s="257">
        <v>153777.20000000001</v>
      </c>
      <c r="L117" s="255">
        <v>2.5117559353136826E-2</v>
      </c>
      <c r="M117" s="256">
        <v>245</v>
      </c>
      <c r="N117" s="255">
        <v>2.3E-2</v>
      </c>
      <c r="O117" s="255">
        <v>2.9000000000000001E-2</v>
      </c>
      <c r="P117" s="254">
        <f>('[1]Modelo AHP'!$U$37*[1]aux!P58)+('[1]Modelo AHP'!$U$38*[1]aux!R58)+('[1]Modelo AHP'!$U$39*[1]aux!S58)</f>
        <v>4.67411220343995E-3</v>
      </c>
      <c r="Q117" s="253">
        <f>[1]aux!U58</f>
        <v>7.6055848446323999E-3</v>
      </c>
      <c r="R117" s="254">
        <f>('[1]Modelo AHP'!$U$47*[1]aux!V58)+('[1]Modelo AHP'!$U$48*[1]aux!W58)+('[1]Modelo AHP'!$U$49*[1]aux!X58)</f>
        <v>4.9450301963860025E-3</v>
      </c>
      <c r="S117" s="253">
        <f>[1]aux!Z58</f>
        <v>7.6025543851043322E-3</v>
      </c>
      <c r="T117" s="252">
        <f>('[1]Modelo AHP'!$U$56*[1]aux!AA58)+('[1]Modelo AHP'!$U$57*[1]aux!AB58)+('[1]Modelo AHP'!$U$58*[1]aux!AC58)+('[1]Modelo AHP'!$U$59*[1]aux!AD58)</f>
        <v>3.5026876219161345E-3</v>
      </c>
      <c r="U117" s="251">
        <f>('[1]Modelo AHP'!$U$23*[1]aux!AE58)+('[1]Modelo AHP'!$U$24*[1]aux!AF58)+('[1]Modelo AHP'!$U$25*[1]aux!AG58)+('[1]Modelo AHP'!$U$26*[1]aux!AH58)+('[1]Modelo AHP'!$U$27*[1]aux!AI58)</f>
        <v>5.8228505268202672E-3</v>
      </c>
    </row>
    <row r="118" spans="1:21" ht="17.25" thickTop="1" thickBot="1">
      <c r="A118" s="260">
        <v>115</v>
      </c>
      <c r="B118" s="259" t="s">
        <v>55</v>
      </c>
      <c r="C118" s="258" t="s">
        <v>59</v>
      </c>
      <c r="D118" s="290">
        <v>7.25</v>
      </c>
      <c r="E118" s="291">
        <v>83.97</v>
      </c>
      <c r="F118" s="292">
        <v>18.897239941893513</v>
      </c>
      <c r="G118" s="293">
        <v>69962.598948637489</v>
      </c>
      <c r="H118" s="290">
        <v>4.12</v>
      </c>
      <c r="I118" s="294">
        <v>5.65</v>
      </c>
      <c r="J118" s="295">
        <v>2.703855152959699</v>
      </c>
      <c r="K118" s="257">
        <v>183069.1</v>
      </c>
      <c r="L118" s="255">
        <v>2.7428537540030839E-2</v>
      </c>
      <c r="M118" s="256">
        <v>160</v>
      </c>
      <c r="N118" s="255">
        <v>2.7E-2</v>
      </c>
      <c r="O118" s="255">
        <v>3.3000000000000002E-2</v>
      </c>
      <c r="P118" s="254">
        <f>('[1]Modelo AHP'!$U$37*[1]aux!P45)+('[1]Modelo AHP'!$U$38*[1]aux!R45)+('[1]Modelo AHP'!$U$39*[1]aux!S45)</f>
        <v>4.9796063729986659E-3</v>
      </c>
      <c r="Q118" s="253">
        <f>[1]aux!U45</f>
        <v>7.5935615663731207E-3</v>
      </c>
      <c r="R118" s="254">
        <f>('[1]Modelo AHP'!$U$47*[1]aux!V45)+('[1]Modelo AHP'!$U$48*[1]aux!W45)+('[1]Modelo AHP'!$U$49*[1]aux!X45)</f>
        <v>4.7792040755712207E-3</v>
      </c>
      <c r="S118" s="253">
        <f>[1]aux!Z45</f>
        <v>7.5854579306281816E-3</v>
      </c>
      <c r="T118" s="252">
        <f>('[1]Modelo AHP'!$U$56*[1]aux!AA45)+('[1]Modelo AHP'!$U$57*[1]aux!AB45)+('[1]Modelo AHP'!$U$58*[1]aux!AC45)+('[1]Modelo AHP'!$U$59*[1]aux!AD45)</f>
        <v>3.4472446780921067E-3</v>
      </c>
      <c r="U118" s="251">
        <f>('[1]Modelo AHP'!$U$23*[1]aux!AE45)+('[1]Modelo AHP'!$U$24*[1]aux!AF45)+('[1]Modelo AHP'!$U$25*[1]aux!AG45)+('[1]Modelo AHP'!$U$26*[1]aux!AH45)+('[1]Modelo AHP'!$U$27*[1]aux!AI45)</f>
        <v>5.8068115934480462E-3</v>
      </c>
    </row>
    <row r="119" spans="1:21" ht="17.25" thickTop="1" thickBot="1">
      <c r="A119" s="260">
        <v>116</v>
      </c>
      <c r="B119" s="259" t="s">
        <v>122</v>
      </c>
      <c r="C119" s="258" t="s">
        <v>124</v>
      </c>
      <c r="D119" s="290">
        <v>4.45</v>
      </c>
      <c r="E119" s="291">
        <v>86.22</v>
      </c>
      <c r="F119" s="292">
        <v>13.773731111972104</v>
      </c>
      <c r="G119" s="293">
        <v>81087.934461822457</v>
      </c>
      <c r="H119" s="290">
        <v>3.57</v>
      </c>
      <c r="I119" s="294">
        <v>4.6549999999999994</v>
      </c>
      <c r="J119" s="295">
        <v>3.3673435856992637</v>
      </c>
      <c r="K119" s="257">
        <v>214964.83</v>
      </c>
      <c r="L119" s="255">
        <v>3.2195456102294781E-2</v>
      </c>
      <c r="M119" s="256">
        <v>415</v>
      </c>
      <c r="N119" s="255">
        <v>3.5000000000000003E-2</v>
      </c>
      <c r="O119" s="255">
        <v>0.04</v>
      </c>
      <c r="P119" s="254">
        <f>('[1]Modelo AHP'!$U$37*[1]aux!P106)+('[1]Modelo AHP'!$U$38*[1]aux!R106)+('[1]Modelo AHP'!$U$39*[1]aux!S106)</f>
        <v>3.6257334432139516E-3</v>
      </c>
      <c r="Q119" s="253">
        <f>[1]aux!U106</f>
        <v>7.5778591225222876E-3</v>
      </c>
      <c r="R119" s="254">
        <f>('[1]Modelo AHP'!$U$47*[1]aux!V106)+('[1]Modelo AHP'!$U$48*[1]aux!W106)+('[1]Modelo AHP'!$U$49*[1]aux!X106)</f>
        <v>4.7745566166711613E-3</v>
      </c>
      <c r="S119" s="253">
        <f>[1]aux!Z106</f>
        <v>7.5668417297013509E-3</v>
      </c>
      <c r="T119" s="252">
        <f>('[1]Modelo AHP'!$U$56*[1]aux!AA106)+('[1]Modelo AHP'!$U$57*[1]aux!AB106)+('[1]Modelo AHP'!$U$58*[1]aux!AC106)+('[1]Modelo AHP'!$U$59*[1]aux!AD106)</f>
        <v>5.2314312249206515E-3</v>
      </c>
      <c r="U119" s="251">
        <f>('[1]Modelo AHP'!$U$23*[1]aux!AE106)+('[1]Modelo AHP'!$U$24*[1]aux!AF106)+('[1]Modelo AHP'!$U$25*[1]aux!AG106)+('[1]Modelo AHP'!$U$26*[1]aux!AH106)+('[1]Modelo AHP'!$U$27*[1]aux!AI106)</f>
        <v>5.7398507276071771E-3</v>
      </c>
    </row>
    <row r="120" spans="1:21" ht="17.25" thickTop="1" thickBot="1">
      <c r="A120" s="260">
        <v>117</v>
      </c>
      <c r="B120" s="259" t="s">
        <v>55</v>
      </c>
      <c r="C120" s="258" t="s">
        <v>61</v>
      </c>
      <c r="D120" s="290">
        <v>3.97</v>
      </c>
      <c r="E120" s="291">
        <v>85.53</v>
      </c>
      <c r="F120" s="292">
        <v>16.310488823384919</v>
      </c>
      <c r="G120" s="293">
        <v>58449.463667455282</v>
      </c>
      <c r="H120" s="290">
        <v>4.5199999999999996</v>
      </c>
      <c r="I120" s="294">
        <v>6.1400000000000006</v>
      </c>
      <c r="J120" s="295">
        <v>2.703855152959699</v>
      </c>
      <c r="K120" s="257">
        <v>177386.51</v>
      </c>
      <c r="L120" s="255">
        <v>2.7428537540030839E-2</v>
      </c>
      <c r="M120" s="256">
        <v>160</v>
      </c>
      <c r="N120" s="255">
        <v>2.7E-2</v>
      </c>
      <c r="O120" s="255">
        <v>3.3000000000000002E-2</v>
      </c>
      <c r="P120" s="254">
        <f>('[1]Modelo AHP'!$U$37*[1]aux!P47)+('[1]Modelo AHP'!$U$38*[1]aux!R47)+('[1]Modelo AHP'!$U$39*[1]aux!S47)</f>
        <v>3.8249357275788798E-3</v>
      </c>
      <c r="Q120" s="253">
        <f>[1]aux!U47</f>
        <v>7.6098113558815414E-3</v>
      </c>
      <c r="R120" s="254">
        <f>('[1]Modelo AHP'!$U$47*[1]aux!V47)+('[1]Modelo AHP'!$U$48*[1]aux!W47)+('[1]Modelo AHP'!$U$49*[1]aux!X47)</f>
        <v>5.0355657419835064E-3</v>
      </c>
      <c r="S120" s="253">
        <f>[1]aux!Z47</f>
        <v>7.5887746202673518E-3</v>
      </c>
      <c r="T120" s="252">
        <f>('[1]Modelo AHP'!$U$56*[1]aux!AA47)+('[1]Modelo AHP'!$U$57*[1]aux!AB47)+('[1]Modelo AHP'!$U$58*[1]aux!AC47)+('[1]Modelo AHP'!$U$59*[1]aux!AD47)</f>
        <v>3.4472446780921067E-3</v>
      </c>
      <c r="U120" s="251">
        <f>('[1]Modelo AHP'!$U$23*[1]aux!AE47)+('[1]Modelo AHP'!$U$24*[1]aux!AF47)+('[1]Modelo AHP'!$U$25*[1]aux!AG47)+('[1]Modelo AHP'!$U$26*[1]aux!AH47)+('[1]Modelo AHP'!$U$27*[1]aux!AI47)</f>
        <v>5.7072115630950803E-3</v>
      </c>
    </row>
    <row r="121" spans="1:21" ht="17.25" thickTop="1" thickBot="1">
      <c r="A121" s="260">
        <v>118</v>
      </c>
      <c r="B121" s="259" t="s">
        <v>62</v>
      </c>
      <c r="C121" s="258" t="s">
        <v>68</v>
      </c>
      <c r="D121" s="290">
        <v>2.25</v>
      </c>
      <c r="E121" s="291">
        <v>84.41</v>
      </c>
      <c r="F121" s="292">
        <v>15.035951579138983</v>
      </c>
      <c r="G121" s="293">
        <v>69353.135084250243</v>
      </c>
      <c r="H121" s="290">
        <v>4.04</v>
      </c>
      <c r="I121" s="294">
        <v>5.24</v>
      </c>
      <c r="J121" s="295">
        <v>3.1354236157438291</v>
      </c>
      <c r="K121" s="257">
        <v>137984.76999999999</v>
      </c>
      <c r="L121" s="255">
        <v>2.3938872821074025E-2</v>
      </c>
      <c r="M121" s="256">
        <v>498</v>
      </c>
      <c r="N121" s="255">
        <v>2.9000000000000001E-2</v>
      </c>
      <c r="O121" s="255">
        <v>3.4000000000000002E-2</v>
      </c>
      <c r="P121" s="254">
        <f>('[1]Modelo AHP'!$U$37*[1]aux!P54)+('[1]Modelo AHP'!$U$38*[1]aux!R54)+('[1]Modelo AHP'!$U$39*[1]aux!S54)</f>
        <v>3.2299170842727339E-3</v>
      </c>
      <c r="Q121" s="253">
        <f>[1]aux!U54</f>
        <v>7.5944217716314988E-3</v>
      </c>
      <c r="R121" s="254">
        <f>('[1]Modelo AHP'!$U$47*[1]aux!V54)+('[1]Modelo AHP'!$U$48*[1]aux!W54)+('[1]Modelo AHP'!$U$49*[1]aux!X54)</f>
        <v>4.9153326435510333E-3</v>
      </c>
      <c r="S121" s="253">
        <f>[1]aux!Z54</f>
        <v>7.6117717646721587E-3</v>
      </c>
      <c r="T121" s="252">
        <f>('[1]Modelo AHP'!$U$56*[1]aux!AA54)+('[1]Modelo AHP'!$U$57*[1]aux!AB54)+('[1]Modelo AHP'!$U$58*[1]aux!AC54)+('[1]Modelo AHP'!$U$59*[1]aux!AD54)</f>
        <v>4.951918362780563E-3</v>
      </c>
      <c r="U121" s="251">
        <f>('[1]Modelo AHP'!$U$23*[1]aux!AE54)+('[1]Modelo AHP'!$U$24*[1]aux!AF54)+('[1]Modelo AHP'!$U$25*[1]aux!AG54)+('[1]Modelo AHP'!$U$26*[1]aux!AH54)+('[1]Modelo AHP'!$U$27*[1]aux!AI54)</f>
        <v>5.7044540803562497E-3</v>
      </c>
    </row>
    <row r="122" spans="1:21" ht="17.25" thickTop="1" thickBot="1">
      <c r="A122" s="260">
        <v>119</v>
      </c>
      <c r="B122" s="259" t="s">
        <v>29</v>
      </c>
      <c r="C122" s="258" t="s">
        <v>319</v>
      </c>
      <c r="D122" s="290">
        <v>2.36</v>
      </c>
      <c r="E122" s="291">
        <v>85.49</v>
      </c>
      <c r="F122" s="292">
        <v>19.83888292158969</v>
      </c>
      <c r="G122" s="293">
        <v>59503.240485351089</v>
      </c>
      <c r="H122" s="290">
        <v>4.99</v>
      </c>
      <c r="I122" s="294">
        <v>6.11</v>
      </c>
      <c r="J122" s="295">
        <v>3.0468907224793722</v>
      </c>
      <c r="K122" s="257">
        <v>124302.52</v>
      </c>
      <c r="L122" s="255">
        <v>1.3496812800832574E-2</v>
      </c>
      <c r="M122" s="256">
        <v>128</v>
      </c>
      <c r="N122" s="255">
        <v>1.4999999999999999E-2</v>
      </c>
      <c r="O122" s="255">
        <v>2.4E-2</v>
      </c>
      <c r="P122" s="254">
        <f>('[1]Modelo AHP'!$U$37*[1]aux!P20)+('[1]Modelo AHP'!$U$38*[1]aux!R20)+('[1]Modelo AHP'!$U$39*[1]aux!S20)</f>
        <v>3.8640731787711641E-3</v>
      </c>
      <c r="Q122" s="253">
        <f>[1]aux!U20</f>
        <v>7.6083240415174298E-3</v>
      </c>
      <c r="R122" s="254">
        <f>('[1]Modelo AHP'!$U$47*[1]aux!V20)+('[1]Modelo AHP'!$U$48*[1]aux!W20)+('[1]Modelo AHP'!$U$49*[1]aux!X20)</f>
        <v>5.3508308434517954E-3</v>
      </c>
      <c r="S122" s="253">
        <f>[1]aux!Z20</f>
        <v>7.6197575206066086E-3</v>
      </c>
      <c r="T122" s="252">
        <f>('[1]Modelo AHP'!$U$56*[1]aux!AA20)+('[1]Modelo AHP'!$U$57*[1]aux!AB20)+('[1]Modelo AHP'!$U$58*[1]aux!AC20)+('[1]Modelo AHP'!$U$59*[1]aux!AD20)</f>
        <v>2.1466223173517819E-3</v>
      </c>
      <c r="U122" s="251">
        <f>('[1]Modelo AHP'!$U$23*[1]aux!AE20)+('[1]Modelo AHP'!$U$24*[1]aux!AF20)+('[1]Modelo AHP'!$U$25*[1]aux!AG20)+('[1]Modelo AHP'!$U$26*[1]aux!AH20)+('[1]Modelo AHP'!$U$27*[1]aux!AI20)</f>
        <v>5.7015631966431607E-3</v>
      </c>
    </row>
    <row r="123" spans="1:21" ht="17.25" thickTop="1" thickBot="1">
      <c r="A123" s="260">
        <v>120</v>
      </c>
      <c r="B123" s="259" t="s">
        <v>70</v>
      </c>
      <c r="C123" s="258" t="s">
        <v>77</v>
      </c>
      <c r="D123" s="290">
        <v>4.8499999999999996</v>
      </c>
      <c r="E123" s="291">
        <v>84.91</v>
      </c>
      <c r="F123" s="292">
        <v>18.253571230059475</v>
      </c>
      <c r="G123" s="293">
        <v>68119.674369766071</v>
      </c>
      <c r="H123" s="290">
        <v>4.03</v>
      </c>
      <c r="I123" s="294">
        <v>5.3849999999999998</v>
      </c>
      <c r="J123" s="295">
        <v>2.8073860836639954</v>
      </c>
      <c r="K123" s="257">
        <v>147225.70000000001</v>
      </c>
      <c r="L123" s="255">
        <v>2.5117559353136826E-2</v>
      </c>
      <c r="M123" s="256">
        <v>245</v>
      </c>
      <c r="N123" s="255">
        <v>2.3E-2</v>
      </c>
      <c r="O123" s="255">
        <v>2.9000000000000001E-2</v>
      </c>
      <c r="P123" s="254">
        <f>('[1]Modelo AHP'!$U$37*[1]aux!P62)+('[1]Modelo AHP'!$U$38*[1]aux!R62)+('[1]Modelo AHP'!$U$39*[1]aux!S62)</f>
        <v>4.2924598203649949E-3</v>
      </c>
      <c r="Q123" s="253">
        <f>[1]aux!U62</f>
        <v>7.5961626941940981E-3</v>
      </c>
      <c r="R123" s="254">
        <f>('[1]Modelo AHP'!$U$47*[1]aux!V62)+('[1]Modelo AHP'!$U$48*[1]aux!W62)+('[1]Modelo AHP'!$U$49*[1]aux!X62)</f>
        <v>4.7363460444956162E-3</v>
      </c>
      <c r="S123" s="253">
        <f>[1]aux!Z62</f>
        <v>7.6063782210965521E-3</v>
      </c>
      <c r="T123" s="252">
        <f>('[1]Modelo AHP'!$U$56*[1]aux!AA62)+('[1]Modelo AHP'!$U$57*[1]aux!AB62)+('[1]Modelo AHP'!$U$58*[1]aux!AC62)+('[1]Modelo AHP'!$U$59*[1]aux!AD62)</f>
        <v>3.5026876219161345E-3</v>
      </c>
      <c r="U123" s="251">
        <f>('[1]Modelo AHP'!$U$23*[1]aux!AE62)+('[1]Modelo AHP'!$U$24*[1]aux!AF62)+('[1]Modelo AHP'!$U$25*[1]aux!AG62)+('[1]Modelo AHP'!$U$26*[1]aux!AH62)+('[1]Modelo AHP'!$U$27*[1]aux!AI62)</f>
        <v>5.6850933492528831E-3</v>
      </c>
    </row>
    <row r="124" spans="1:21" ht="17.25" thickTop="1" thickBot="1">
      <c r="A124" s="260">
        <v>121</v>
      </c>
      <c r="B124" s="259" t="s">
        <v>62</v>
      </c>
      <c r="C124" s="258" t="s">
        <v>69</v>
      </c>
      <c r="D124" s="290">
        <v>2.39</v>
      </c>
      <c r="E124" s="291">
        <v>102.95</v>
      </c>
      <c r="F124" s="292">
        <v>14.933854212909527</v>
      </c>
      <c r="G124" s="293">
        <v>60055.593944140215</v>
      </c>
      <c r="H124" s="290">
        <v>3.6</v>
      </c>
      <c r="I124" s="294">
        <v>4.97</v>
      </c>
      <c r="J124" s="295">
        <v>3.1354236157438291</v>
      </c>
      <c r="K124" s="257">
        <v>82361.86</v>
      </c>
      <c r="L124" s="255">
        <v>2.3938872821074025E-2</v>
      </c>
      <c r="M124" s="256">
        <v>498</v>
      </c>
      <c r="N124" s="255">
        <v>2.9000000000000001E-2</v>
      </c>
      <c r="O124" s="255">
        <v>3.4000000000000002E-2</v>
      </c>
      <c r="P124" s="254">
        <f>('[1]Modelo AHP'!$U$37*[1]aux!P55)+('[1]Modelo AHP'!$U$38*[1]aux!R55)+('[1]Modelo AHP'!$U$39*[1]aux!S55)</f>
        <v>3.251080855754027E-3</v>
      </c>
      <c r="Q124" s="253">
        <f>[1]aux!U55</f>
        <v>7.6075444426314306E-3</v>
      </c>
      <c r="R124" s="254">
        <f>('[1]Modelo AHP'!$U$47*[1]aux!V55)+('[1]Modelo AHP'!$U$48*[1]aux!W55)+('[1]Modelo AHP'!$U$49*[1]aux!X55)</f>
        <v>4.7347805458008889E-3</v>
      </c>
      <c r="S124" s="253">
        <f>[1]aux!Z55</f>
        <v>7.6442365262153174E-3</v>
      </c>
      <c r="T124" s="252">
        <f>('[1]Modelo AHP'!$U$56*[1]aux!AA55)+('[1]Modelo AHP'!$U$57*[1]aux!AB55)+('[1]Modelo AHP'!$U$58*[1]aux!AC55)+('[1]Modelo AHP'!$U$59*[1]aux!AD55)</f>
        <v>4.951918362780563E-3</v>
      </c>
      <c r="U124" s="251">
        <f>('[1]Modelo AHP'!$U$23*[1]aux!AE55)+('[1]Modelo AHP'!$U$24*[1]aux!AF55)+('[1]Modelo AHP'!$U$25*[1]aux!AG55)+('[1]Modelo AHP'!$U$26*[1]aux!AH55)+('[1]Modelo AHP'!$U$27*[1]aux!AI55)</f>
        <v>5.6529601020967601E-3</v>
      </c>
    </row>
    <row r="125" spans="1:21" ht="17.25" thickTop="1" thickBot="1">
      <c r="A125" s="260">
        <v>122</v>
      </c>
      <c r="B125" s="259" t="s">
        <v>147</v>
      </c>
      <c r="C125" s="258" t="s">
        <v>152</v>
      </c>
      <c r="D125" s="290">
        <v>2.54</v>
      </c>
      <c r="E125" s="291">
        <v>85.23</v>
      </c>
      <c r="F125" s="292">
        <v>15.168539325842696</v>
      </c>
      <c r="G125" s="293">
        <v>67321.429582471959</v>
      </c>
      <c r="H125" s="290">
        <v>4.6100000000000003</v>
      </c>
      <c r="I125" s="294">
        <v>6.3550000000000004</v>
      </c>
      <c r="J125" s="295">
        <v>2.8390176496451227</v>
      </c>
      <c r="K125" s="257">
        <v>115940.36</v>
      </c>
      <c r="L125" s="255">
        <v>2.4022988505747127E-2</v>
      </c>
      <c r="M125" s="256">
        <v>80</v>
      </c>
      <c r="N125" s="255">
        <v>2.5999999999999999E-2</v>
      </c>
      <c r="O125" s="255">
        <v>3.1E-2</v>
      </c>
      <c r="P125" s="254">
        <f>('[1]Modelo AHP'!$U$37*[1]aux!P135)+('[1]Modelo AHP'!$U$38*[1]aux!R135)+('[1]Modelo AHP'!$U$39*[1]aux!S135)</f>
        <v>3.3198036658391998E-3</v>
      </c>
      <c r="Q125" s="253">
        <f>[1]aux!U135</f>
        <v>7.5972893473127256E-3</v>
      </c>
      <c r="R125" s="254">
        <f>('[1]Modelo AHP'!$U$47*[1]aux!V135)+('[1]Modelo AHP'!$U$48*[1]aux!W135)+('[1]Modelo AHP'!$U$49*[1]aux!X135)</f>
        <v>5.228292950197274E-3</v>
      </c>
      <c r="S125" s="253">
        <f>[1]aux!Z135</f>
        <v>7.6246381629603748E-3</v>
      </c>
      <c r="T125" s="252">
        <f>('[1]Modelo AHP'!$U$56*[1]aux!AA135)+('[1]Modelo AHP'!$U$57*[1]aux!AB135)+('[1]Modelo AHP'!$U$58*[1]aux!AC135)+('[1]Modelo AHP'!$U$59*[1]aux!AD135)</f>
        <v>2.8897023671300669E-3</v>
      </c>
      <c r="U125" s="251">
        <f>('[1]Modelo AHP'!$U$23*[1]aux!AE135)+('[1]Modelo AHP'!$U$24*[1]aux!AF135)+('[1]Modelo AHP'!$U$25*[1]aux!AG135)+('[1]Modelo AHP'!$U$26*[1]aux!AH135)+('[1]Modelo AHP'!$U$27*[1]aux!AI135)</f>
        <v>5.635231441667523E-3</v>
      </c>
    </row>
    <row r="126" spans="1:21" ht="17.25" thickTop="1" thickBot="1">
      <c r="A126" s="260">
        <v>123</v>
      </c>
      <c r="B126" s="259" t="s">
        <v>34</v>
      </c>
      <c r="C126" s="258" t="s">
        <v>40</v>
      </c>
      <c r="D126" s="290">
        <v>8.32</v>
      </c>
      <c r="E126" s="291">
        <v>86.82</v>
      </c>
      <c r="F126" s="292">
        <v>15.909427260618617</v>
      </c>
      <c r="G126" s="293">
        <v>72528.93424364175</v>
      </c>
      <c r="H126" s="290">
        <v>3.6</v>
      </c>
      <c r="I126" s="294">
        <v>5.415</v>
      </c>
      <c r="J126" s="295">
        <v>2.5515857253360652</v>
      </c>
      <c r="K126" s="257">
        <v>260293.34</v>
      </c>
      <c r="L126" s="255">
        <v>2.7153209406238402E-2</v>
      </c>
      <c r="M126" s="256">
        <v>128</v>
      </c>
      <c r="N126" s="255">
        <v>1.9E-2</v>
      </c>
      <c r="O126" s="255">
        <v>2.5000000000000001E-2</v>
      </c>
      <c r="P126" s="254">
        <f>('[1]Modelo AHP'!$U$37*[1]aux!P29)+('[1]Modelo AHP'!$U$38*[1]aux!R29)+('[1]Modelo AHP'!$U$39*[1]aux!S29)</f>
        <v>4.8722272420389017E-3</v>
      </c>
      <c r="Q126" s="253">
        <f>[1]aux!U29</f>
        <v>7.5899394072189577E-3</v>
      </c>
      <c r="R126" s="254">
        <f>('[1]Modelo AHP'!$U$47*[1]aux!V29)+('[1]Modelo AHP'!$U$48*[1]aux!W29)+('[1]Modelo AHP'!$U$49*[1]aux!X29)</f>
        <v>4.4899021146286066E-3</v>
      </c>
      <c r="S126" s="253">
        <f>[1]aux!Z29</f>
        <v>7.5403853780243767E-3</v>
      </c>
      <c r="T126" s="252">
        <f>('[1]Modelo AHP'!$U$56*[1]aux!AA29)+('[1]Modelo AHP'!$U$57*[1]aux!AB29)+('[1]Modelo AHP'!$U$58*[1]aux!AC29)+('[1]Modelo AHP'!$U$59*[1]aux!AD29)</f>
        <v>2.7977118641345127E-3</v>
      </c>
      <c r="U126" s="251">
        <f>('[1]Modelo AHP'!$U$23*[1]aux!AE29)+('[1]Modelo AHP'!$U$24*[1]aux!AF29)+('[1]Modelo AHP'!$U$25*[1]aux!AG29)+('[1]Modelo AHP'!$U$26*[1]aux!AH29)+('[1]Modelo AHP'!$U$27*[1]aux!AI29)</f>
        <v>5.6246654321220335E-3</v>
      </c>
    </row>
    <row r="127" spans="1:21" ht="17.25" thickTop="1" thickBot="1">
      <c r="A127" s="260">
        <v>124</v>
      </c>
      <c r="B127" s="259" t="s">
        <v>29</v>
      </c>
      <c r="C127" s="258" t="s">
        <v>320</v>
      </c>
      <c r="D127" s="290">
        <v>4.22</v>
      </c>
      <c r="E127" s="291">
        <v>85.13</v>
      </c>
      <c r="F127" s="292">
        <v>18.288005578800558</v>
      </c>
      <c r="G127" s="293">
        <v>69543.255848425251</v>
      </c>
      <c r="H127" s="290">
        <v>4.09</v>
      </c>
      <c r="I127" s="294">
        <v>5.3249999999999993</v>
      </c>
      <c r="J127" s="295">
        <v>3.0468907224793722</v>
      </c>
      <c r="K127" s="257">
        <v>327167.19</v>
      </c>
      <c r="L127" s="255">
        <v>1.3496812800832574E-2</v>
      </c>
      <c r="M127" s="256">
        <v>128</v>
      </c>
      <c r="N127" s="255">
        <v>1.4999999999999999E-2</v>
      </c>
      <c r="O127" s="255">
        <v>2.4E-2</v>
      </c>
      <c r="P127" s="254">
        <f>('[1]Modelo AHP'!$U$37*[1]aux!P22)+('[1]Modelo AHP'!$U$38*[1]aux!R22)+('[1]Modelo AHP'!$U$39*[1]aux!S22)</f>
        <v>4.1377686303737601E-3</v>
      </c>
      <c r="Q127" s="253">
        <f>[1]aux!U22</f>
        <v>7.5941534327017826E-3</v>
      </c>
      <c r="R127" s="254">
        <f>('[1]Modelo AHP'!$U$47*[1]aux!V22)+('[1]Modelo AHP'!$U$48*[1]aux!W22)+('[1]Modelo AHP'!$U$49*[1]aux!X22)</f>
        <v>4.8937532314175351E-3</v>
      </c>
      <c r="S127" s="253">
        <f>[1]aux!Z22</f>
        <v>7.5013539143033488E-3</v>
      </c>
      <c r="T127" s="252">
        <f>('[1]Modelo AHP'!$U$56*[1]aux!AA22)+('[1]Modelo AHP'!$U$57*[1]aux!AB22)+('[1]Modelo AHP'!$U$58*[1]aux!AC22)+('[1]Modelo AHP'!$U$59*[1]aux!AD22)</f>
        <v>2.1466223173517819E-3</v>
      </c>
      <c r="U127" s="251">
        <f>('[1]Modelo AHP'!$U$23*[1]aux!AE22)+('[1]Modelo AHP'!$U$24*[1]aux!AF22)+('[1]Modelo AHP'!$U$25*[1]aux!AG22)+('[1]Modelo AHP'!$U$26*[1]aux!AH22)+('[1]Modelo AHP'!$U$27*[1]aux!AI22)</f>
        <v>5.577573739687639E-3</v>
      </c>
    </row>
    <row r="128" spans="1:21" ht="17.25" thickTop="1" thickBot="1">
      <c r="A128" s="260">
        <v>125</v>
      </c>
      <c r="B128" s="259" t="s">
        <v>41</v>
      </c>
      <c r="C128" s="258" t="s">
        <v>45</v>
      </c>
      <c r="D128" s="290">
        <v>3.78</v>
      </c>
      <c r="E128" s="291">
        <v>86.2</v>
      </c>
      <c r="F128" s="292">
        <v>16.530670239110137</v>
      </c>
      <c r="G128" s="293">
        <v>63487.380653796492</v>
      </c>
      <c r="H128" s="290">
        <v>4.5</v>
      </c>
      <c r="I128" s="294">
        <v>6.2349999999999994</v>
      </c>
      <c r="J128" s="295">
        <v>2.5063762470002047</v>
      </c>
      <c r="K128" s="257">
        <v>156399.54999999999</v>
      </c>
      <c r="L128" s="255">
        <v>1.8523972199316764E-2</v>
      </c>
      <c r="M128" s="256">
        <v>148</v>
      </c>
      <c r="N128" s="255">
        <v>1.4999999999999999E-2</v>
      </c>
      <c r="O128" s="255">
        <v>2.576864177170456E-2</v>
      </c>
      <c r="P128" s="254">
        <f>('[1]Modelo AHP'!$U$37*[1]aux!P33)+('[1]Modelo AHP'!$U$38*[1]aux!R33)+('[1]Modelo AHP'!$U$39*[1]aux!S33)</f>
        <v>3.8047319897745379E-3</v>
      </c>
      <c r="Q128" s="253">
        <f>[1]aux!U33</f>
        <v>7.6027007740470049E-3</v>
      </c>
      <c r="R128" s="254">
        <f>('[1]Modelo AHP'!$U$47*[1]aux!V33)+('[1]Modelo AHP'!$U$48*[1]aux!W33)+('[1]Modelo AHP'!$U$49*[1]aux!X33)</f>
        <v>4.9282217546127742E-3</v>
      </c>
      <c r="S128" s="253">
        <f>[1]aux!Z33</f>
        <v>7.6010238293057831E-3</v>
      </c>
      <c r="T128" s="252">
        <f>('[1]Modelo AHP'!$U$56*[1]aux!AA33)+('[1]Modelo AHP'!$U$57*[1]aux!AB33)+('[1]Modelo AHP'!$U$58*[1]aux!AC33)+('[1]Modelo AHP'!$U$59*[1]aux!AD33)</f>
        <v>2.443050197790269E-3</v>
      </c>
      <c r="U128" s="251">
        <f>('[1]Modelo AHP'!$U$23*[1]aux!AE33)+('[1]Modelo AHP'!$U$24*[1]aux!AF33)+('[1]Modelo AHP'!$U$25*[1]aux!AG33)+('[1]Modelo AHP'!$U$26*[1]aux!AH33)+('[1]Modelo AHP'!$U$27*[1]aux!AI33)</f>
        <v>5.5717728061910306E-3</v>
      </c>
    </row>
    <row r="129" spans="1:21" ht="17.25" thickTop="1" thickBot="1">
      <c r="A129" s="260">
        <v>126</v>
      </c>
      <c r="B129" s="259" t="s">
        <v>70</v>
      </c>
      <c r="C129" s="258" t="s">
        <v>76</v>
      </c>
      <c r="D129" s="290">
        <v>5.52</v>
      </c>
      <c r="E129" s="291">
        <v>81.92</v>
      </c>
      <c r="F129" s="292">
        <v>16.44736842105263</v>
      </c>
      <c r="G129" s="293">
        <v>89015</v>
      </c>
      <c r="H129" s="290">
        <v>3.56</v>
      </c>
      <c r="I129" s="294">
        <v>4.4800000000000004</v>
      </c>
      <c r="J129" s="295">
        <v>2.8073860836639954</v>
      </c>
      <c r="K129" s="257">
        <v>329947.68</v>
      </c>
      <c r="L129" s="255">
        <v>2.5117559353136826E-2</v>
      </c>
      <c r="M129" s="256">
        <v>245</v>
      </c>
      <c r="N129" s="255">
        <v>2.3E-2</v>
      </c>
      <c r="O129" s="255">
        <v>2.9000000000000001E-2</v>
      </c>
      <c r="P129" s="254">
        <f>('[1]Modelo AHP'!$U$37*[1]aux!P61)+('[1]Modelo AHP'!$U$38*[1]aux!R61)+('[1]Modelo AHP'!$U$39*[1]aux!S61)</f>
        <v>4.2337187837084619E-3</v>
      </c>
      <c r="Q129" s="253">
        <f>[1]aux!U61</f>
        <v>7.5666707586866449E-3</v>
      </c>
      <c r="R129" s="254">
        <f>('[1]Modelo AHP'!$U$47*[1]aux!V61)+('[1]Modelo AHP'!$U$48*[1]aux!W61)+('[1]Modelo AHP'!$U$49*[1]aux!X61)</f>
        <v>4.3109537691800107E-3</v>
      </c>
      <c r="S129" s="253">
        <f>[1]aux!Z61</f>
        <v>7.4997310588140707E-3</v>
      </c>
      <c r="T129" s="252">
        <f>('[1]Modelo AHP'!$U$56*[1]aux!AA61)+('[1]Modelo AHP'!$U$57*[1]aux!AB61)+('[1]Modelo AHP'!$U$58*[1]aux!AC61)+('[1]Modelo AHP'!$U$59*[1]aux!AD61)</f>
        <v>3.5026876219161345E-3</v>
      </c>
      <c r="U129" s="251">
        <f>('[1]Modelo AHP'!$U$23*[1]aux!AE61)+('[1]Modelo AHP'!$U$24*[1]aux!AF61)+('[1]Modelo AHP'!$U$25*[1]aux!AG61)+('[1]Modelo AHP'!$U$26*[1]aux!AH61)+('[1]Modelo AHP'!$U$27*[1]aux!AI61)</f>
        <v>5.5123935057780175E-3</v>
      </c>
    </row>
    <row r="130" spans="1:21" ht="17.25" thickTop="1" thickBot="1">
      <c r="A130" s="260">
        <v>127</v>
      </c>
      <c r="B130" s="259" t="s">
        <v>70</v>
      </c>
      <c r="C130" s="258" t="s">
        <v>75</v>
      </c>
      <c r="D130" s="290">
        <v>5.9</v>
      </c>
      <c r="E130" s="291">
        <v>83.49</v>
      </c>
      <c r="F130" s="292">
        <v>14.090909090909092</v>
      </c>
      <c r="G130" s="293">
        <v>88034.930533867577</v>
      </c>
      <c r="H130" s="290">
        <v>3.34</v>
      </c>
      <c r="I130" s="294">
        <v>4.6050000000000004</v>
      </c>
      <c r="J130" s="295">
        <v>2.8073860836639954</v>
      </c>
      <c r="K130" s="257">
        <v>201101.71</v>
      </c>
      <c r="L130" s="255">
        <v>2.5117559353136826E-2</v>
      </c>
      <c r="M130" s="256">
        <v>245</v>
      </c>
      <c r="N130" s="255">
        <v>2.3E-2</v>
      </c>
      <c r="O130" s="255">
        <v>2.9000000000000001E-2</v>
      </c>
      <c r="P130" s="254">
        <f>('[1]Modelo AHP'!$U$37*[1]aux!P60)+('[1]Modelo AHP'!$U$38*[1]aux!R60)+('[1]Modelo AHP'!$U$39*[1]aux!S60)</f>
        <v>4.0319799204273027E-3</v>
      </c>
      <c r="Q130" s="253">
        <f>[1]aux!U60</f>
        <v>7.5680540415317896E-3</v>
      </c>
      <c r="R130" s="254">
        <f>('[1]Modelo AHP'!$U$47*[1]aux!V60)+('[1]Modelo AHP'!$U$48*[1]aux!W60)+('[1]Modelo AHP'!$U$49*[1]aux!X60)</f>
        <v>4.3187293603751103E-3</v>
      </c>
      <c r="S130" s="253">
        <f>[1]aux!Z60</f>
        <v>7.5749330518749703E-3</v>
      </c>
      <c r="T130" s="252">
        <f>('[1]Modelo AHP'!$U$56*[1]aux!AA60)+('[1]Modelo AHP'!$U$57*[1]aux!AB60)+('[1]Modelo AHP'!$U$58*[1]aux!AC60)+('[1]Modelo AHP'!$U$59*[1]aux!AD60)</f>
        <v>3.5026876219161345E-3</v>
      </c>
      <c r="U130" s="251">
        <f>('[1]Modelo AHP'!$U$23*[1]aux!AE60)+('[1]Modelo AHP'!$U$24*[1]aux!AF60)+('[1]Modelo AHP'!$U$25*[1]aux!AG60)+('[1]Modelo AHP'!$U$26*[1]aux!AH60)+('[1]Modelo AHP'!$U$27*[1]aux!AI60)</f>
        <v>5.4874812713476256E-3</v>
      </c>
    </row>
    <row r="131" spans="1:21" ht="17.25" thickTop="1" thickBot="1">
      <c r="A131" s="260">
        <v>128</v>
      </c>
      <c r="B131" s="259" t="s">
        <v>29</v>
      </c>
      <c r="C131" s="258" t="s">
        <v>33</v>
      </c>
      <c r="D131" s="290">
        <v>2.72</v>
      </c>
      <c r="E131" s="291">
        <v>85.2</v>
      </c>
      <c r="F131" s="292">
        <v>15.199455643446457</v>
      </c>
      <c r="G131" s="293">
        <v>68049.083003506137</v>
      </c>
      <c r="H131" s="290">
        <v>4.2300000000000004</v>
      </c>
      <c r="I131" s="294">
        <v>5.3949999999999996</v>
      </c>
      <c r="J131" s="295">
        <v>3.0468907224793722</v>
      </c>
      <c r="K131" s="257">
        <v>205078.82</v>
      </c>
      <c r="L131" s="255">
        <v>1.3496812800832574E-2</v>
      </c>
      <c r="M131" s="256">
        <v>128</v>
      </c>
      <c r="N131" s="255">
        <v>1.4999999999999999E-2</v>
      </c>
      <c r="O131" s="255">
        <v>2.4E-2</v>
      </c>
      <c r="P131" s="254">
        <f>('[1]Modelo AHP'!$U$37*[1]aux!P23)+('[1]Modelo AHP'!$U$38*[1]aux!R23)+('[1]Modelo AHP'!$U$39*[1]aux!S23)</f>
        <v>3.3691449592763937E-3</v>
      </c>
      <c r="Q131" s="253">
        <f>[1]aux!U23</f>
        <v>7.5962623277704283E-3</v>
      </c>
      <c r="R131" s="254">
        <f>('[1]Modelo AHP'!$U$47*[1]aux!V23)+('[1]Modelo AHP'!$U$48*[1]aux!W23)+('[1]Modelo AHP'!$U$49*[1]aux!X23)</f>
        <v>4.9452019628652109E-3</v>
      </c>
      <c r="S131" s="253">
        <f>[1]aux!Z23</f>
        <v>7.5726117794391893E-3</v>
      </c>
      <c r="T131" s="252">
        <f>('[1]Modelo AHP'!$U$56*[1]aux!AA23)+('[1]Modelo AHP'!$U$57*[1]aux!AB23)+('[1]Modelo AHP'!$U$58*[1]aux!AC23)+('[1]Modelo AHP'!$U$59*[1]aux!AD23)</f>
        <v>2.1466223173517819E-3</v>
      </c>
      <c r="U131" s="251">
        <f>('[1]Modelo AHP'!$U$23*[1]aux!AE23)+('[1]Modelo AHP'!$U$24*[1]aux!AF23)+('[1]Modelo AHP'!$U$25*[1]aux!AG23)+('[1]Modelo AHP'!$U$26*[1]aux!AH23)+('[1]Modelo AHP'!$U$27*[1]aux!AI23)</f>
        <v>5.4729188874173135E-3</v>
      </c>
    </row>
    <row r="132" spans="1:21" ht="17.25" thickTop="1" thickBot="1">
      <c r="A132" s="260">
        <v>129</v>
      </c>
      <c r="B132" s="259" t="s">
        <v>34</v>
      </c>
      <c r="C132" s="258" t="s">
        <v>35</v>
      </c>
      <c r="D132" s="290">
        <v>7.98</v>
      </c>
      <c r="E132" s="291">
        <v>85.89</v>
      </c>
      <c r="F132" s="292">
        <v>14.205950386854909</v>
      </c>
      <c r="G132" s="293">
        <v>79736.559682901207</v>
      </c>
      <c r="H132" s="290">
        <v>3.31</v>
      </c>
      <c r="I132" s="294">
        <v>4.5449999999999999</v>
      </c>
      <c r="J132" s="295">
        <v>2.5515857253360652</v>
      </c>
      <c r="K132" s="257">
        <v>258711.98</v>
      </c>
      <c r="L132" s="255">
        <v>2.7153209406238363E-2</v>
      </c>
      <c r="M132" s="256">
        <v>128</v>
      </c>
      <c r="N132" s="255">
        <v>1.9E-2</v>
      </c>
      <c r="O132" s="255">
        <v>2.5000000000000001E-2</v>
      </c>
      <c r="P132" s="254">
        <f>('[1]Modelo AHP'!$U$37*[1]aux!P24)+('[1]Modelo AHP'!$U$38*[1]aux!R24)+('[1]Modelo AHP'!$U$39*[1]aux!S24)</f>
        <v>4.5713716085665525E-3</v>
      </c>
      <c r="Q132" s="253">
        <f>[1]aux!U24</f>
        <v>7.5797664705355055E-3</v>
      </c>
      <c r="R132" s="254">
        <f>('[1]Modelo AHP'!$U$47*[1]aux!V24)+('[1]Modelo AHP'!$U$48*[1]aux!W24)+('[1]Modelo AHP'!$U$49*[1]aux!X24)</f>
        <v>4.1099165152253874E-3</v>
      </c>
      <c r="S132" s="253">
        <f>[1]aux!Z24</f>
        <v>7.5413083515853407E-3</v>
      </c>
      <c r="T132" s="252">
        <f>('[1]Modelo AHP'!$U$56*[1]aux!AA24)+('[1]Modelo AHP'!$U$57*[1]aux!AB24)+('[1]Modelo AHP'!$U$58*[1]aux!AC24)+('[1]Modelo AHP'!$U$59*[1]aux!AD24)</f>
        <v>2.7977118641345118E-3</v>
      </c>
      <c r="U132" s="251">
        <f>('[1]Modelo AHP'!$U$23*[1]aux!AE24)+('[1]Modelo AHP'!$U$24*[1]aux!AF24)+('[1]Modelo AHP'!$U$25*[1]aux!AG24)+('[1]Modelo AHP'!$U$26*[1]aux!AH24)+('[1]Modelo AHP'!$U$27*[1]aux!AI24)</f>
        <v>5.4413936828231896E-3</v>
      </c>
    </row>
    <row r="133" spans="1:21" ht="17.25" thickTop="1" thickBot="1">
      <c r="A133" s="260">
        <v>130</v>
      </c>
      <c r="B133" s="259" t="s">
        <v>41</v>
      </c>
      <c r="C133" s="258" t="s">
        <v>46</v>
      </c>
      <c r="D133" s="290">
        <v>4.88</v>
      </c>
      <c r="E133" s="291">
        <v>85.89</v>
      </c>
      <c r="F133" s="292">
        <v>13.543307086614174</v>
      </c>
      <c r="G133" s="293">
        <v>73422.834209702633</v>
      </c>
      <c r="H133" s="290">
        <v>3.78</v>
      </c>
      <c r="I133" s="294">
        <v>5.1950000000000003</v>
      </c>
      <c r="J133" s="295">
        <v>2.5063762470002047</v>
      </c>
      <c r="K133" s="257">
        <v>201438.28</v>
      </c>
      <c r="L133" s="255">
        <v>1.8523972199316764E-2</v>
      </c>
      <c r="M133" s="256">
        <v>148</v>
      </c>
      <c r="N133" s="255">
        <v>1.4999999999999999E-2</v>
      </c>
      <c r="O133" s="255">
        <v>2.576864177170456E-2</v>
      </c>
      <c r="P133" s="254">
        <f>('[1]Modelo AHP'!$U$37*[1]aux!P34)+('[1]Modelo AHP'!$U$38*[1]aux!R34)+('[1]Modelo AHP'!$U$39*[1]aux!S34)</f>
        <v>3.7052008832481704E-3</v>
      </c>
      <c r="Q133" s="253">
        <f>[1]aux!U34</f>
        <v>7.588677745131671E-3</v>
      </c>
      <c r="R133" s="254">
        <f>('[1]Modelo AHP'!$U$47*[1]aux!V34)+('[1]Modelo AHP'!$U$48*[1]aux!W34)+('[1]Modelo AHP'!$U$49*[1]aux!X34)</f>
        <v>4.4071855276434013E-3</v>
      </c>
      <c r="S133" s="253">
        <f>[1]aux!Z34</f>
        <v>7.574736610070818E-3</v>
      </c>
      <c r="T133" s="252">
        <f>('[1]Modelo AHP'!$U$56*[1]aux!AA34)+('[1]Modelo AHP'!$U$57*[1]aux!AB34)+('[1]Modelo AHP'!$U$58*[1]aux!AC34)+('[1]Modelo AHP'!$U$59*[1]aux!AD34)</f>
        <v>2.443050197790269E-3</v>
      </c>
      <c r="U133" s="251">
        <f>('[1]Modelo AHP'!$U$23*[1]aux!AE34)+('[1]Modelo AHP'!$U$24*[1]aux!AF34)+('[1]Modelo AHP'!$U$25*[1]aux!AG34)+('[1]Modelo AHP'!$U$26*[1]aux!AH34)+('[1]Modelo AHP'!$U$27*[1]aux!AI34)</f>
        <v>5.3706114594984219E-3</v>
      </c>
    </row>
    <row r="134" spans="1:21" ht="16.5" thickTop="1">
      <c r="A134" s="260">
        <v>131</v>
      </c>
      <c r="B134" s="259" t="s">
        <v>41</v>
      </c>
      <c r="C134" s="258" t="s">
        <v>42</v>
      </c>
      <c r="D134" s="290">
        <v>6.2</v>
      </c>
      <c r="E134" s="291">
        <v>86.4</v>
      </c>
      <c r="F134" s="292">
        <v>16.052830188679245</v>
      </c>
      <c r="G134" s="293">
        <v>88193.871439463444</v>
      </c>
      <c r="H134" s="290">
        <v>3.06</v>
      </c>
      <c r="I134" s="294">
        <v>4.28</v>
      </c>
      <c r="J134" s="295">
        <v>2.5063762470002047</v>
      </c>
      <c r="K134" s="257">
        <v>312996.19</v>
      </c>
      <c r="L134" s="255">
        <v>1.8523972199316764E-2</v>
      </c>
      <c r="M134" s="256">
        <v>148</v>
      </c>
      <c r="N134" s="255">
        <v>1.4999999999999999E-2</v>
      </c>
      <c r="O134" s="255">
        <v>2.576864177170456E-2</v>
      </c>
      <c r="P134" s="254">
        <f>('[1]Modelo AHP'!$U$37*[1]aux!P30)+('[1]Modelo AHP'!$U$38*[1]aux!R30)+('[1]Modelo AHP'!$U$39*[1]aux!S30)</f>
        <v>4.3552354417870712E-3</v>
      </c>
      <c r="Q134" s="253">
        <f>[1]aux!U30</f>
        <v>7.5678297102617113E-3</v>
      </c>
      <c r="R134" s="254">
        <f>('[1]Modelo AHP'!$U$47*[1]aux!V30)+('[1]Modelo AHP'!$U$48*[1]aux!W30)+('[1]Modelo AHP'!$U$49*[1]aux!X30)</f>
        <v>3.9332895122462259E-3</v>
      </c>
      <c r="S134" s="253">
        <f>[1]aux!Z30</f>
        <v>7.5096249331304491E-3</v>
      </c>
      <c r="T134" s="252">
        <f>('[1]Modelo AHP'!$U$56*[1]aux!AA30)+('[1]Modelo AHP'!$U$57*[1]aux!AB30)+('[1]Modelo AHP'!$U$58*[1]aux!AC30)+('[1]Modelo AHP'!$U$59*[1]aux!AD30)</f>
        <v>2.443050197790269E-3</v>
      </c>
      <c r="U134" s="251">
        <f>('[1]Modelo AHP'!$U$23*[1]aux!AE30)+('[1]Modelo AHP'!$U$24*[1]aux!AF30)+('[1]Modelo AHP'!$U$25*[1]aux!AG30)+('[1]Modelo AHP'!$U$26*[1]aux!AH30)+('[1]Modelo AHP'!$U$27*[1]aux!AI30)</f>
        <v>5.3055307649558479E-3</v>
      </c>
    </row>
    <row r="135" spans="1:21">
      <c r="B135" s="250"/>
      <c r="C135" s="250"/>
      <c r="D135" s="250"/>
      <c r="E135" s="250"/>
      <c r="F135" s="250"/>
      <c r="G135" s="250"/>
      <c r="H135" s="250"/>
      <c r="I135" s="250"/>
    </row>
    <row r="155" spans="12:12">
      <c r="L155" s="249"/>
    </row>
    <row r="156" spans="12:12">
      <c r="L156" s="249"/>
    </row>
    <row r="157" spans="12:12">
      <c r="L157" s="249"/>
    </row>
  </sheetData>
  <sheetProtection sort="0" autoFilter="0" pivotTables="0"/>
  <mergeCells count="4">
    <mergeCell ref="H2:J2"/>
    <mergeCell ref="L2:O2"/>
    <mergeCell ref="D2:F2"/>
    <mergeCell ref="A1:C2"/>
  </mergeCells>
  <conditionalFormatting sqref="A4:A134">
    <cfRule type="colorScale" priority="13">
      <colorScale>
        <cfvo type="min"/>
        <cfvo type="percentile" val="50"/>
        <cfvo type="max"/>
        <color rgb="FFFF0000"/>
        <color rgb="FFFFEB84"/>
        <color rgb="FF92D050"/>
      </colorScale>
    </cfRule>
  </conditionalFormatting>
  <conditionalFormatting sqref="P4:P130">
    <cfRule type="colorScale" priority="12">
      <colorScale>
        <cfvo type="min"/>
        <cfvo type="percentile" val="50"/>
        <cfvo type="max"/>
        <color rgb="FF63BE7B"/>
        <color rgb="FFFFEB84"/>
        <color rgb="FFFF0000"/>
      </colorScale>
    </cfRule>
  </conditionalFormatting>
  <conditionalFormatting sqref="Q4:Q130">
    <cfRule type="colorScale" priority="11">
      <colorScale>
        <cfvo type="min"/>
        <cfvo type="percentile" val="50"/>
        <cfvo type="max"/>
        <color rgb="FF63BE7B"/>
        <color rgb="FFFFEB84"/>
        <color rgb="FFFF0000"/>
      </colorScale>
    </cfRule>
  </conditionalFormatting>
  <conditionalFormatting sqref="R4:R130">
    <cfRule type="colorScale" priority="10">
      <colorScale>
        <cfvo type="min"/>
        <cfvo type="percentile" val="50"/>
        <cfvo type="max"/>
        <color rgb="FF63BE7B"/>
        <color rgb="FFFFEB84"/>
        <color rgb="FFFF0000"/>
      </colorScale>
    </cfRule>
  </conditionalFormatting>
  <conditionalFormatting sqref="U4:U130">
    <cfRule type="colorScale" priority="9">
      <colorScale>
        <cfvo type="min"/>
        <cfvo type="percentile" val="50"/>
        <cfvo type="max"/>
        <color rgb="FF63BE7B"/>
        <color rgb="FFFFEB84"/>
        <color rgb="FFF8696B"/>
      </colorScale>
    </cfRule>
  </conditionalFormatting>
  <conditionalFormatting sqref="S4:S130">
    <cfRule type="colorScale" priority="8">
      <colorScale>
        <cfvo type="min"/>
        <cfvo type="percentile" val="50"/>
        <cfvo type="max"/>
        <color rgb="FF63BE7B"/>
        <color rgb="FFFFEB84"/>
        <color rgb="FFF8696B"/>
      </colorScale>
    </cfRule>
  </conditionalFormatting>
  <conditionalFormatting sqref="T103:T130">
    <cfRule type="colorScale" priority="7">
      <colorScale>
        <cfvo type="min"/>
        <cfvo type="percentile" val="50"/>
        <cfvo type="max"/>
        <color rgb="FF63BE7B"/>
        <color rgb="FFFFEB84"/>
        <color rgb="FFF8696B"/>
      </colorScale>
    </cfRule>
  </conditionalFormatting>
  <conditionalFormatting sqref="P131:P134">
    <cfRule type="colorScale" priority="6">
      <colorScale>
        <cfvo type="min"/>
        <cfvo type="percentile" val="50"/>
        <cfvo type="max"/>
        <color rgb="FF63BE7B"/>
        <color rgb="FFFFEB84"/>
        <color rgb="FFFF0000"/>
      </colorScale>
    </cfRule>
  </conditionalFormatting>
  <conditionalFormatting sqref="Q131:Q134">
    <cfRule type="colorScale" priority="5">
      <colorScale>
        <cfvo type="min"/>
        <cfvo type="percentile" val="50"/>
        <cfvo type="max"/>
        <color rgb="FF63BE7B"/>
        <color rgb="FFFFEB84"/>
        <color rgb="FFFF0000"/>
      </colorScale>
    </cfRule>
  </conditionalFormatting>
  <conditionalFormatting sqref="R131:R134">
    <cfRule type="colorScale" priority="4">
      <colorScale>
        <cfvo type="min"/>
        <cfvo type="percentile" val="50"/>
        <cfvo type="max"/>
        <color rgb="FF63BE7B"/>
        <color rgb="FFFFEB84"/>
        <color rgb="FFFF0000"/>
      </colorScale>
    </cfRule>
  </conditionalFormatting>
  <conditionalFormatting sqref="U131:U134">
    <cfRule type="colorScale" priority="3">
      <colorScale>
        <cfvo type="min"/>
        <cfvo type="percentile" val="50"/>
        <cfvo type="max"/>
        <color rgb="FF63BE7B"/>
        <color rgb="FFFFEB84"/>
        <color rgb="FFF8696B"/>
      </colorScale>
    </cfRule>
  </conditionalFormatting>
  <conditionalFormatting sqref="S131:S134">
    <cfRule type="colorScale" priority="2">
      <colorScale>
        <cfvo type="min"/>
        <cfvo type="percentile" val="50"/>
        <cfvo type="max"/>
        <color rgb="FF63BE7B"/>
        <color rgb="FFFFEB84"/>
        <color rgb="FFF8696B"/>
      </colorScale>
    </cfRule>
  </conditionalFormatting>
  <conditionalFormatting sqref="T131:T13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4294967292" verticalDpi="4294967292"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63"/>
  <sheetViews>
    <sheetView zoomScale="70" zoomScaleNormal="70" workbookViewId="0">
      <selection activeCell="O17" sqref="O17"/>
    </sheetView>
  </sheetViews>
  <sheetFormatPr baseColWidth="10" defaultColWidth="11" defaultRowHeight="15.75"/>
  <cols>
    <col min="1" max="16384" width="11" style="6"/>
  </cols>
  <sheetData>
    <row r="1" spans="1:25">
      <c r="A1" s="297"/>
      <c r="B1" s="297"/>
      <c r="C1" s="297"/>
      <c r="D1" s="297"/>
      <c r="E1" s="297"/>
      <c r="F1" s="297"/>
      <c r="G1" s="297"/>
      <c r="H1" s="297"/>
      <c r="I1" s="297"/>
      <c r="J1" s="297"/>
      <c r="K1" s="297"/>
      <c r="L1" s="297"/>
      <c r="M1" s="297"/>
      <c r="N1" s="297"/>
      <c r="O1" s="297"/>
      <c r="P1" s="297"/>
      <c r="Q1" s="298"/>
      <c r="R1" s="298"/>
      <c r="S1" s="298"/>
      <c r="T1" s="298"/>
      <c r="U1" s="299"/>
      <c r="V1" s="299"/>
      <c r="W1" s="299"/>
      <c r="X1" s="299"/>
      <c r="Y1" s="299"/>
    </row>
    <row r="2" spans="1:25">
      <c r="A2" s="297"/>
      <c r="B2" s="297"/>
      <c r="C2" s="297"/>
      <c r="D2" s="297"/>
      <c r="E2" s="297"/>
      <c r="F2" s="297"/>
      <c r="G2" s="297"/>
      <c r="H2" s="297"/>
      <c r="I2" s="297"/>
      <c r="J2" s="297"/>
      <c r="K2" s="297"/>
      <c r="L2" s="297"/>
      <c r="M2" s="297"/>
      <c r="N2" s="297"/>
      <c r="O2" s="297"/>
      <c r="P2" s="297"/>
      <c r="Q2" s="298"/>
      <c r="R2" s="298"/>
      <c r="S2" s="298"/>
      <c r="T2" s="298"/>
      <c r="U2" s="299"/>
      <c r="V2" s="299"/>
      <c r="W2" s="299"/>
      <c r="X2" s="299"/>
      <c r="Y2" s="299"/>
    </row>
    <row r="3" spans="1:25">
      <c r="A3" s="297"/>
      <c r="B3" s="297"/>
      <c r="C3" s="297"/>
      <c r="D3" s="297"/>
      <c r="E3" s="297"/>
      <c r="F3" s="297"/>
      <c r="G3" s="297"/>
      <c r="H3" s="297"/>
      <c r="I3" s="297"/>
      <c r="J3" s="297"/>
      <c r="K3" s="297"/>
      <c r="L3" s="297"/>
      <c r="M3" s="297"/>
      <c r="N3" s="297"/>
      <c r="O3" s="297"/>
      <c r="P3" s="297"/>
      <c r="Q3" s="298"/>
      <c r="R3" s="298"/>
      <c r="S3" s="298"/>
      <c r="T3" s="298"/>
      <c r="U3" s="299"/>
      <c r="V3" s="299"/>
      <c r="W3" s="299"/>
      <c r="X3" s="299"/>
      <c r="Y3" s="299"/>
    </row>
    <row r="4" spans="1:25">
      <c r="A4" s="297"/>
      <c r="B4" s="297"/>
      <c r="C4" s="297"/>
      <c r="D4" s="297"/>
      <c r="E4" s="297"/>
      <c r="F4" s="297"/>
      <c r="G4" s="297"/>
      <c r="H4" s="297"/>
      <c r="I4" s="297"/>
      <c r="J4" s="297"/>
      <c r="K4" s="297"/>
      <c r="L4" s="297"/>
      <c r="M4" s="297"/>
      <c r="N4" s="297"/>
      <c r="O4" s="297"/>
      <c r="P4" s="297"/>
      <c r="Q4" s="298"/>
      <c r="R4" s="298"/>
      <c r="S4" s="298"/>
      <c r="T4" s="298"/>
      <c r="U4" s="299"/>
      <c r="V4" s="299"/>
      <c r="W4" s="299"/>
      <c r="X4" s="299"/>
      <c r="Y4" s="299"/>
    </row>
    <row r="5" spans="1:25">
      <c r="A5" s="297"/>
      <c r="B5" s="297"/>
      <c r="C5" s="297"/>
      <c r="D5" s="297"/>
      <c r="E5" s="297"/>
      <c r="F5" s="297"/>
      <c r="G5" s="297"/>
      <c r="H5" s="297"/>
      <c r="I5" s="297"/>
      <c r="J5" s="297"/>
      <c r="K5" s="297"/>
      <c r="L5" s="297"/>
      <c r="M5" s="297"/>
      <c r="N5" s="297"/>
      <c r="O5" s="297"/>
      <c r="P5" s="297"/>
      <c r="Q5" s="298"/>
      <c r="R5" s="298"/>
      <c r="S5" s="298"/>
      <c r="T5" s="298"/>
      <c r="U5" s="299"/>
      <c r="V5" s="299"/>
      <c r="W5" s="299"/>
      <c r="X5" s="299"/>
      <c r="Y5" s="299"/>
    </row>
    <row r="6" spans="1:25">
      <c r="A6" s="297"/>
      <c r="B6" s="297"/>
      <c r="C6" s="297"/>
      <c r="D6" s="297"/>
      <c r="E6" s="297"/>
      <c r="F6" s="297"/>
      <c r="G6" s="297"/>
      <c r="H6" s="297"/>
      <c r="I6" s="297"/>
      <c r="J6" s="297"/>
      <c r="K6" s="297"/>
      <c r="L6" s="297"/>
      <c r="M6" s="297"/>
      <c r="N6" s="297"/>
      <c r="O6" s="297"/>
      <c r="P6" s="297"/>
      <c r="Q6" s="298"/>
      <c r="R6" s="298"/>
      <c r="S6" s="298"/>
      <c r="T6" s="298"/>
      <c r="U6" s="299"/>
      <c r="V6" s="299"/>
      <c r="W6" s="299"/>
      <c r="X6" s="299"/>
      <c r="Y6" s="299"/>
    </row>
    <row r="7" spans="1:25">
      <c r="A7" s="297"/>
      <c r="B7" s="297"/>
      <c r="C7" s="297"/>
      <c r="D7" s="297"/>
      <c r="E7" s="297"/>
      <c r="F7" s="297"/>
      <c r="G7" s="297"/>
      <c r="H7" s="297"/>
      <c r="I7" s="297"/>
      <c r="J7" s="297"/>
      <c r="K7" s="297"/>
      <c r="L7" s="297"/>
      <c r="M7" s="297"/>
      <c r="N7" s="297"/>
      <c r="O7" s="297"/>
      <c r="P7" s="297"/>
      <c r="Q7" s="298"/>
      <c r="R7" s="298"/>
      <c r="S7" s="298"/>
      <c r="T7" s="298"/>
      <c r="U7" s="299"/>
      <c r="V7" s="299"/>
      <c r="W7" s="299"/>
      <c r="X7" s="299"/>
      <c r="Y7" s="299"/>
    </row>
    <row r="8" spans="1:25">
      <c r="A8" s="297"/>
      <c r="B8" s="297"/>
      <c r="C8" s="297"/>
      <c r="D8" s="297"/>
      <c r="E8" s="297"/>
      <c r="F8" s="297"/>
      <c r="G8" s="297"/>
      <c r="H8" s="297"/>
      <c r="I8" s="297"/>
      <c r="J8" s="297"/>
      <c r="K8" s="297"/>
      <c r="L8" s="297"/>
      <c r="M8" s="297"/>
      <c r="N8" s="297"/>
      <c r="O8" s="297"/>
      <c r="P8" s="297"/>
      <c r="Q8" s="298"/>
      <c r="R8" s="298"/>
      <c r="S8" s="298"/>
      <c r="T8" s="298"/>
      <c r="U8" s="299"/>
      <c r="V8" s="299"/>
      <c r="W8" s="299"/>
      <c r="X8" s="299"/>
      <c r="Y8" s="299"/>
    </row>
    <row r="9" spans="1:25">
      <c r="A9" s="297"/>
      <c r="B9" s="297"/>
      <c r="C9" s="297"/>
      <c r="D9" s="297"/>
      <c r="E9" s="297"/>
      <c r="F9" s="297"/>
      <c r="G9" s="297"/>
      <c r="H9" s="297"/>
      <c r="I9" s="297"/>
      <c r="J9" s="297"/>
      <c r="K9" s="297"/>
      <c r="L9" s="297"/>
      <c r="M9" s="297"/>
      <c r="N9" s="297"/>
      <c r="O9" s="297"/>
      <c r="P9" s="297"/>
      <c r="Q9" s="298"/>
      <c r="R9" s="298"/>
      <c r="S9" s="298"/>
      <c r="T9" s="298"/>
      <c r="U9" s="299"/>
      <c r="V9" s="299"/>
      <c r="W9" s="299"/>
      <c r="X9" s="299"/>
      <c r="Y9" s="299"/>
    </row>
    <row r="10" spans="1:25">
      <c r="A10" s="297"/>
      <c r="B10" s="297"/>
      <c r="C10" s="297"/>
      <c r="D10" s="297"/>
      <c r="E10" s="297"/>
      <c r="F10" s="297"/>
      <c r="G10" s="297"/>
      <c r="H10" s="297"/>
      <c r="I10" s="297"/>
      <c r="J10" s="297"/>
      <c r="K10" s="297"/>
      <c r="L10" s="297"/>
      <c r="M10" s="297"/>
      <c r="N10" s="297"/>
      <c r="O10" s="297"/>
      <c r="P10" s="297"/>
      <c r="Q10" s="298"/>
      <c r="R10" s="298"/>
      <c r="S10" s="298"/>
      <c r="T10" s="298"/>
      <c r="U10" s="299"/>
      <c r="V10" s="299"/>
      <c r="W10" s="299"/>
      <c r="X10" s="299"/>
      <c r="Y10" s="299"/>
    </row>
    <row r="11" spans="1:25">
      <c r="A11" s="297"/>
      <c r="B11" s="297"/>
      <c r="C11" s="297"/>
      <c r="D11" s="297"/>
      <c r="E11" s="297"/>
      <c r="F11" s="297"/>
      <c r="G11" s="297"/>
      <c r="H11" s="297"/>
      <c r="I11" s="297"/>
      <c r="J11" s="297"/>
      <c r="K11" s="297"/>
      <c r="L11" s="297"/>
      <c r="M11" s="297"/>
      <c r="N11" s="297"/>
      <c r="O11" s="297"/>
      <c r="P11" s="297"/>
      <c r="Q11" s="298"/>
      <c r="R11" s="298"/>
      <c r="S11" s="298"/>
      <c r="T11" s="298"/>
      <c r="U11" s="299"/>
      <c r="V11" s="299"/>
      <c r="W11" s="299"/>
      <c r="X11" s="299"/>
      <c r="Y11" s="299"/>
    </row>
    <row r="12" spans="1:25">
      <c r="A12" s="297"/>
      <c r="B12" s="297"/>
      <c r="C12" s="297"/>
      <c r="D12" s="297"/>
      <c r="E12" s="297"/>
      <c r="F12" s="297"/>
      <c r="G12" s="297"/>
      <c r="H12" s="297"/>
      <c r="I12" s="297"/>
      <c r="J12" s="297"/>
      <c r="K12" s="297"/>
      <c r="L12" s="297"/>
      <c r="M12" s="297"/>
      <c r="N12" s="297"/>
      <c r="O12" s="297"/>
      <c r="P12" s="297"/>
      <c r="Q12" s="298"/>
      <c r="R12" s="298"/>
      <c r="S12" s="298"/>
      <c r="T12" s="298"/>
      <c r="U12" s="299"/>
      <c r="V12" s="299"/>
      <c r="W12" s="299"/>
      <c r="X12" s="299"/>
      <c r="Y12" s="299"/>
    </row>
    <row r="13" spans="1:25">
      <c r="A13" s="297"/>
      <c r="B13" s="297"/>
      <c r="C13" s="297"/>
      <c r="D13" s="297"/>
      <c r="E13" s="297"/>
      <c r="F13" s="297"/>
      <c r="G13" s="297"/>
      <c r="H13" s="297"/>
      <c r="I13" s="297"/>
      <c r="J13" s="297"/>
      <c r="K13" s="297"/>
      <c r="L13" s="297"/>
      <c r="M13" s="297"/>
      <c r="N13" s="297"/>
      <c r="O13" s="297"/>
      <c r="P13" s="297"/>
      <c r="Q13" s="298"/>
      <c r="R13" s="298"/>
      <c r="S13" s="298"/>
      <c r="T13" s="298"/>
      <c r="U13" s="299"/>
      <c r="V13" s="299"/>
      <c r="W13" s="299"/>
      <c r="X13" s="299"/>
      <c r="Y13" s="299"/>
    </row>
    <row r="14" spans="1:25">
      <c r="A14" s="297"/>
      <c r="B14" s="297"/>
      <c r="C14" s="297"/>
      <c r="D14" s="297"/>
      <c r="E14" s="297"/>
      <c r="F14" s="297"/>
      <c r="G14" s="297"/>
      <c r="H14" s="297"/>
      <c r="I14" s="297"/>
      <c r="J14" s="297"/>
      <c r="K14" s="297"/>
      <c r="L14" s="297"/>
      <c r="M14" s="297"/>
      <c r="N14" s="297"/>
      <c r="O14" s="297"/>
      <c r="P14" s="297"/>
      <c r="Q14" s="298"/>
      <c r="R14" s="298"/>
      <c r="S14" s="298"/>
      <c r="T14" s="298"/>
      <c r="U14" s="299"/>
      <c r="V14" s="299"/>
      <c r="W14" s="299"/>
      <c r="X14" s="299"/>
      <c r="Y14" s="299"/>
    </row>
    <row r="15" spans="1:25">
      <c r="A15" s="297"/>
      <c r="B15" s="297"/>
      <c r="C15" s="297"/>
      <c r="D15" s="297"/>
      <c r="E15" s="297"/>
      <c r="F15" s="297"/>
      <c r="G15" s="297"/>
      <c r="H15" s="297"/>
      <c r="I15" s="297"/>
      <c r="J15" s="297"/>
      <c r="K15" s="297"/>
      <c r="L15" s="297"/>
      <c r="M15" s="297"/>
      <c r="N15" s="297"/>
      <c r="O15" s="297"/>
      <c r="P15" s="297"/>
      <c r="Q15" s="298"/>
      <c r="R15" s="298"/>
      <c r="S15" s="298"/>
      <c r="T15" s="298"/>
      <c r="U15" s="299"/>
      <c r="V15" s="299"/>
      <c r="W15" s="299"/>
      <c r="X15" s="299"/>
      <c r="Y15" s="299"/>
    </row>
    <row r="16" spans="1:25">
      <c r="A16" s="297"/>
      <c r="B16" s="297"/>
      <c r="C16" s="297"/>
      <c r="D16" s="297"/>
      <c r="E16" s="297"/>
      <c r="F16" s="297"/>
      <c r="G16" s="297"/>
      <c r="H16" s="297"/>
      <c r="I16" s="297"/>
      <c r="J16" s="297"/>
      <c r="K16" s="297"/>
      <c r="L16" s="297"/>
      <c r="M16" s="297"/>
      <c r="N16" s="297"/>
      <c r="O16" s="297"/>
      <c r="P16" s="297"/>
      <c r="Q16" s="298"/>
      <c r="R16" s="298"/>
      <c r="S16" s="298"/>
      <c r="T16" s="298"/>
      <c r="U16" s="299"/>
      <c r="V16" s="299"/>
      <c r="W16" s="299"/>
      <c r="X16" s="299"/>
      <c r="Y16" s="299"/>
    </row>
    <row r="17" spans="1:25">
      <c r="A17" s="297"/>
      <c r="B17" s="297"/>
      <c r="C17" s="297"/>
      <c r="D17" s="297"/>
      <c r="E17" s="297"/>
      <c r="F17" s="297"/>
      <c r="G17" s="297"/>
      <c r="H17" s="297"/>
      <c r="I17" s="297"/>
      <c r="J17" s="297"/>
      <c r="K17" s="297"/>
      <c r="L17" s="297"/>
      <c r="M17" s="297"/>
      <c r="N17" s="297"/>
      <c r="O17" s="297"/>
      <c r="P17" s="297"/>
      <c r="Q17" s="298"/>
      <c r="R17" s="298"/>
      <c r="S17" s="298"/>
      <c r="T17" s="298"/>
      <c r="U17" s="299"/>
      <c r="V17" s="299"/>
      <c r="W17" s="299"/>
      <c r="X17" s="299"/>
      <c r="Y17" s="299"/>
    </row>
    <row r="18" spans="1:25">
      <c r="A18" s="297"/>
      <c r="B18" s="297"/>
      <c r="C18" s="297"/>
      <c r="D18" s="297"/>
      <c r="E18" s="297"/>
      <c r="F18" s="297"/>
      <c r="G18" s="297"/>
      <c r="H18" s="297"/>
      <c r="I18" s="297"/>
      <c r="J18" s="297"/>
      <c r="K18" s="297"/>
      <c r="L18" s="297"/>
      <c r="M18" s="297"/>
      <c r="N18" s="297"/>
      <c r="O18" s="297"/>
      <c r="P18" s="297"/>
      <c r="Q18" s="298"/>
      <c r="R18" s="298"/>
      <c r="S18" s="298"/>
      <c r="T18" s="298"/>
      <c r="U18" s="299"/>
      <c r="V18" s="299"/>
      <c r="W18" s="299"/>
      <c r="X18" s="299"/>
      <c r="Y18" s="299"/>
    </row>
    <row r="19" spans="1:25">
      <c r="A19" s="297"/>
      <c r="B19" s="297"/>
      <c r="C19" s="297"/>
      <c r="D19" s="297"/>
      <c r="E19" s="297"/>
      <c r="F19" s="297"/>
      <c r="G19" s="297"/>
      <c r="H19" s="297"/>
      <c r="I19" s="297"/>
      <c r="J19" s="297"/>
      <c r="K19" s="297"/>
      <c r="L19" s="297"/>
      <c r="M19" s="297"/>
      <c r="N19" s="297"/>
      <c r="O19" s="297"/>
      <c r="P19" s="297"/>
      <c r="Q19" s="298"/>
      <c r="R19" s="298"/>
      <c r="S19" s="298"/>
      <c r="T19" s="298"/>
      <c r="U19" s="299"/>
      <c r="V19" s="299"/>
      <c r="W19" s="299"/>
      <c r="X19" s="299"/>
      <c r="Y19" s="299"/>
    </row>
    <row r="20" spans="1:25">
      <c r="A20" s="297"/>
      <c r="B20" s="297"/>
      <c r="C20" s="297"/>
      <c r="D20" s="297"/>
      <c r="E20" s="297"/>
      <c r="F20" s="297"/>
      <c r="G20" s="297"/>
      <c r="H20" s="297"/>
      <c r="I20" s="297"/>
      <c r="J20" s="297"/>
      <c r="K20" s="297"/>
      <c r="L20" s="297"/>
      <c r="M20" s="297"/>
      <c r="N20" s="297"/>
      <c r="O20" s="297"/>
      <c r="P20" s="297"/>
      <c r="Q20" s="298"/>
      <c r="R20" s="298"/>
      <c r="S20" s="298"/>
      <c r="T20" s="298"/>
      <c r="U20" s="299"/>
      <c r="V20" s="299"/>
      <c r="W20" s="299"/>
      <c r="X20" s="299"/>
      <c r="Y20" s="299"/>
    </row>
    <row r="21" spans="1:25">
      <c r="A21" s="297"/>
      <c r="B21" s="297"/>
      <c r="C21" s="297"/>
      <c r="D21" s="297"/>
      <c r="E21" s="297"/>
      <c r="F21" s="297"/>
      <c r="G21" s="297"/>
      <c r="H21" s="297"/>
      <c r="I21" s="297"/>
      <c r="J21" s="297"/>
      <c r="K21" s="297"/>
      <c r="L21" s="297"/>
      <c r="M21" s="297"/>
      <c r="N21" s="297"/>
      <c r="O21" s="297"/>
      <c r="P21" s="297"/>
      <c r="Q21" s="298"/>
      <c r="R21" s="298"/>
      <c r="S21" s="298"/>
      <c r="T21" s="298"/>
      <c r="U21" s="299"/>
      <c r="V21" s="299"/>
      <c r="W21" s="299"/>
      <c r="X21" s="299"/>
      <c r="Y21" s="299"/>
    </row>
    <row r="22" spans="1:25">
      <c r="A22" s="297"/>
      <c r="B22" s="297"/>
      <c r="C22" s="297"/>
      <c r="D22" s="297"/>
      <c r="E22" s="297"/>
      <c r="F22" s="297"/>
      <c r="G22" s="297"/>
      <c r="H22" s="297"/>
      <c r="I22" s="297"/>
      <c r="J22" s="297"/>
      <c r="K22" s="297"/>
      <c r="L22" s="297"/>
      <c r="M22" s="297"/>
      <c r="N22" s="297"/>
      <c r="O22" s="297"/>
      <c r="P22" s="297"/>
      <c r="Q22" s="298"/>
      <c r="R22" s="298"/>
      <c r="S22" s="298"/>
      <c r="T22" s="298"/>
      <c r="U22" s="299"/>
      <c r="V22" s="299"/>
      <c r="W22" s="299"/>
      <c r="X22" s="299"/>
      <c r="Y22" s="299"/>
    </row>
    <row r="23" spans="1:25">
      <c r="A23" s="297"/>
      <c r="B23" s="297"/>
      <c r="C23" s="297"/>
      <c r="D23" s="297"/>
      <c r="E23" s="297"/>
      <c r="F23" s="297"/>
      <c r="G23" s="297"/>
      <c r="H23" s="297"/>
      <c r="I23" s="297"/>
      <c r="J23" s="297"/>
      <c r="K23" s="297"/>
      <c r="L23" s="297"/>
      <c r="M23" s="297"/>
      <c r="N23" s="297"/>
      <c r="O23" s="297"/>
      <c r="P23" s="297"/>
      <c r="Q23" s="298"/>
      <c r="R23" s="298"/>
      <c r="S23" s="298"/>
      <c r="T23" s="298"/>
      <c r="U23" s="299"/>
      <c r="V23" s="299"/>
      <c r="W23" s="299"/>
      <c r="X23" s="299"/>
      <c r="Y23" s="299"/>
    </row>
    <row r="24" spans="1:25">
      <c r="A24" s="297"/>
      <c r="B24" s="297"/>
      <c r="C24" s="297"/>
      <c r="D24" s="297"/>
      <c r="E24" s="297"/>
      <c r="F24" s="297"/>
      <c r="G24" s="297"/>
      <c r="H24" s="297"/>
      <c r="I24" s="297"/>
      <c r="J24" s="297"/>
      <c r="K24" s="297"/>
      <c r="L24" s="297"/>
      <c r="M24" s="297"/>
      <c r="N24" s="297"/>
      <c r="O24" s="297"/>
      <c r="P24" s="297"/>
      <c r="Q24" s="298"/>
      <c r="R24" s="298"/>
      <c r="S24" s="298"/>
      <c r="T24" s="298"/>
      <c r="U24" s="299"/>
      <c r="V24" s="299"/>
      <c r="W24" s="299"/>
      <c r="X24" s="299"/>
      <c r="Y24" s="299"/>
    </row>
    <row r="25" spans="1:25">
      <c r="A25" s="297"/>
      <c r="B25" s="297"/>
      <c r="C25" s="297"/>
      <c r="D25" s="297"/>
      <c r="E25" s="297"/>
      <c r="F25" s="297"/>
      <c r="G25" s="297"/>
      <c r="H25" s="297"/>
      <c r="I25" s="297"/>
      <c r="J25" s="297"/>
      <c r="K25" s="297"/>
      <c r="L25" s="297"/>
      <c r="M25" s="297"/>
      <c r="N25" s="297"/>
      <c r="O25" s="297"/>
      <c r="P25" s="297"/>
      <c r="Q25" s="298"/>
      <c r="R25" s="298"/>
      <c r="S25" s="298"/>
      <c r="T25" s="298"/>
      <c r="U25" s="299"/>
      <c r="V25" s="299"/>
      <c r="W25" s="299"/>
      <c r="X25" s="299"/>
      <c r="Y25" s="299"/>
    </row>
    <row r="26" spans="1:25">
      <c r="A26" s="297"/>
      <c r="B26" s="297"/>
      <c r="C26" s="297"/>
      <c r="D26" s="297"/>
      <c r="E26" s="297"/>
      <c r="F26" s="297"/>
      <c r="G26" s="297"/>
      <c r="H26" s="297"/>
      <c r="I26" s="297"/>
      <c r="J26" s="297"/>
      <c r="K26" s="297"/>
      <c r="L26" s="297"/>
      <c r="M26" s="297"/>
      <c r="N26" s="297"/>
      <c r="O26" s="297"/>
      <c r="P26" s="297"/>
      <c r="Q26" s="298"/>
      <c r="R26" s="298"/>
      <c r="S26" s="298"/>
      <c r="T26" s="298"/>
      <c r="U26" s="299"/>
      <c r="V26" s="299"/>
      <c r="W26" s="299"/>
      <c r="X26" s="299"/>
      <c r="Y26" s="299"/>
    </row>
    <row r="27" spans="1:25">
      <c r="A27" s="297"/>
      <c r="B27" s="297"/>
      <c r="C27" s="297"/>
      <c r="D27" s="297"/>
      <c r="E27" s="297"/>
      <c r="F27" s="297"/>
      <c r="G27" s="297"/>
      <c r="H27" s="297"/>
      <c r="I27" s="297"/>
      <c r="J27" s="297"/>
      <c r="K27" s="297"/>
      <c r="L27" s="297"/>
      <c r="M27" s="297"/>
      <c r="N27" s="297"/>
      <c r="O27" s="297"/>
      <c r="P27" s="297"/>
      <c r="Q27" s="298"/>
      <c r="R27" s="298"/>
      <c r="S27" s="298"/>
      <c r="T27" s="298"/>
      <c r="U27" s="299"/>
      <c r="V27" s="299"/>
      <c r="W27" s="299"/>
      <c r="X27" s="299"/>
      <c r="Y27" s="299"/>
    </row>
    <row r="28" spans="1:25">
      <c r="A28" s="297"/>
      <c r="B28" s="297"/>
      <c r="C28" s="297"/>
      <c r="D28" s="297"/>
      <c r="E28" s="297"/>
      <c r="F28" s="297"/>
      <c r="G28" s="297"/>
      <c r="H28" s="297"/>
      <c r="I28" s="297"/>
      <c r="J28" s="297"/>
      <c r="K28" s="297"/>
      <c r="L28" s="297"/>
      <c r="M28" s="297"/>
      <c r="N28" s="297"/>
      <c r="O28" s="297"/>
      <c r="P28" s="297"/>
      <c r="Q28" s="298"/>
      <c r="R28" s="298"/>
      <c r="S28" s="298"/>
      <c r="T28" s="298"/>
      <c r="U28" s="299"/>
      <c r="V28" s="299"/>
      <c r="W28" s="299"/>
      <c r="X28" s="299"/>
      <c r="Y28" s="299"/>
    </row>
    <row r="29" spans="1:25">
      <c r="A29" s="297"/>
      <c r="B29" s="297"/>
      <c r="C29" s="297"/>
      <c r="D29" s="297"/>
      <c r="E29" s="297"/>
      <c r="F29" s="297"/>
      <c r="G29" s="297"/>
      <c r="H29" s="297"/>
      <c r="I29" s="297"/>
      <c r="J29" s="297"/>
      <c r="K29" s="297"/>
      <c r="L29" s="297"/>
      <c r="M29" s="297"/>
      <c r="N29" s="297"/>
      <c r="O29" s="297"/>
      <c r="P29" s="297"/>
      <c r="Q29" s="298"/>
      <c r="R29" s="298"/>
      <c r="S29" s="298"/>
      <c r="T29" s="298"/>
      <c r="U29" s="299"/>
      <c r="V29" s="299"/>
      <c r="W29" s="299"/>
      <c r="X29" s="299"/>
      <c r="Y29" s="299"/>
    </row>
    <row r="30" spans="1:25">
      <c r="A30" s="297"/>
      <c r="B30" s="297"/>
      <c r="C30" s="297"/>
      <c r="D30" s="297"/>
      <c r="E30" s="297"/>
      <c r="F30" s="297"/>
      <c r="G30" s="297"/>
      <c r="H30" s="297"/>
      <c r="I30" s="297"/>
      <c r="J30" s="297"/>
      <c r="K30" s="297"/>
      <c r="L30" s="297"/>
      <c r="M30" s="297"/>
      <c r="N30" s="297"/>
      <c r="O30" s="297"/>
      <c r="P30" s="297"/>
      <c r="Q30" s="298"/>
      <c r="R30" s="298"/>
      <c r="S30" s="298"/>
      <c r="T30" s="298"/>
      <c r="U30" s="299"/>
      <c r="V30" s="299"/>
      <c r="W30" s="299"/>
      <c r="X30" s="299"/>
      <c r="Y30" s="299"/>
    </row>
    <row r="31" spans="1:25">
      <c r="A31" s="297"/>
      <c r="B31" s="297"/>
      <c r="C31" s="297"/>
      <c r="D31" s="297"/>
      <c r="E31" s="297"/>
      <c r="F31" s="297"/>
      <c r="G31" s="297"/>
      <c r="H31" s="297"/>
      <c r="I31" s="297"/>
      <c r="J31" s="297"/>
      <c r="K31" s="297"/>
      <c r="L31" s="297"/>
      <c r="M31" s="297"/>
      <c r="N31" s="297"/>
      <c r="O31" s="297"/>
      <c r="P31" s="297"/>
      <c r="Q31" s="298"/>
      <c r="R31" s="298"/>
      <c r="S31" s="298"/>
      <c r="T31" s="298"/>
      <c r="U31" s="299"/>
      <c r="V31" s="299"/>
      <c r="W31" s="299"/>
      <c r="X31" s="299"/>
      <c r="Y31" s="299"/>
    </row>
    <row r="32" spans="1:25">
      <c r="A32" s="250"/>
      <c r="B32" s="250"/>
      <c r="C32" s="250"/>
      <c r="D32" s="250"/>
      <c r="E32" s="250"/>
      <c r="F32" s="250"/>
      <c r="G32" s="250"/>
      <c r="H32" s="250"/>
      <c r="I32" s="250"/>
      <c r="J32" s="250"/>
      <c r="K32" s="250"/>
      <c r="L32" s="250"/>
      <c r="M32" s="250"/>
      <c r="N32" s="250"/>
      <c r="O32" s="250"/>
      <c r="P32" s="250"/>
      <c r="Q32" s="299"/>
      <c r="R32" s="299"/>
      <c r="S32" s="299"/>
      <c r="T32" s="299"/>
      <c r="U32" s="299"/>
      <c r="V32" s="299"/>
      <c r="W32" s="299"/>
      <c r="X32" s="299"/>
      <c r="Y32" s="299"/>
    </row>
    <row r="33" spans="1:25">
      <c r="A33" s="250"/>
      <c r="B33" s="250"/>
      <c r="C33" s="250"/>
      <c r="D33" s="250"/>
      <c r="E33" s="250"/>
      <c r="F33" s="250"/>
      <c r="G33" s="250"/>
      <c r="H33" s="250"/>
      <c r="I33" s="250"/>
      <c r="J33" s="250"/>
      <c r="K33" s="250"/>
      <c r="L33" s="250"/>
      <c r="M33" s="250"/>
      <c r="N33" s="250"/>
      <c r="O33" s="250"/>
      <c r="P33" s="250"/>
      <c r="Q33" s="299"/>
      <c r="R33" s="299"/>
      <c r="S33" s="299"/>
      <c r="T33" s="299"/>
      <c r="U33" s="299"/>
      <c r="V33" s="299"/>
      <c r="W33" s="299"/>
      <c r="X33" s="299"/>
      <c r="Y33" s="299"/>
    </row>
    <row r="34" spans="1:25">
      <c r="A34" s="250"/>
      <c r="B34" s="250"/>
      <c r="C34" s="250"/>
      <c r="D34" s="250"/>
      <c r="E34" s="250"/>
      <c r="F34" s="250"/>
      <c r="G34" s="250"/>
      <c r="H34" s="250"/>
      <c r="I34" s="250"/>
      <c r="J34" s="250"/>
      <c r="K34" s="250"/>
      <c r="L34" s="250"/>
      <c r="M34" s="250"/>
      <c r="N34" s="250"/>
      <c r="O34" s="250"/>
      <c r="P34" s="250"/>
      <c r="Q34" s="299"/>
      <c r="R34" s="299"/>
      <c r="S34" s="299"/>
      <c r="T34" s="299"/>
      <c r="U34" s="299"/>
      <c r="V34" s="299"/>
      <c r="W34" s="299"/>
      <c r="X34" s="299"/>
      <c r="Y34" s="299"/>
    </row>
    <row r="35" spans="1:25">
      <c r="A35" s="250"/>
      <c r="B35" s="250"/>
      <c r="C35" s="250"/>
      <c r="D35" s="250"/>
      <c r="E35" s="250"/>
      <c r="F35" s="250"/>
      <c r="G35" s="250"/>
      <c r="H35" s="250"/>
      <c r="I35" s="299"/>
      <c r="J35" s="299"/>
      <c r="K35" s="299"/>
      <c r="L35" s="299"/>
      <c r="M35" s="299"/>
      <c r="N35" s="299"/>
      <c r="O35" s="250"/>
      <c r="P35" s="250"/>
      <c r="Q35" s="299"/>
      <c r="R35" s="299"/>
      <c r="S35" s="299"/>
      <c r="T35" s="299"/>
      <c r="U35" s="299"/>
      <c r="V35" s="299"/>
      <c r="W35" s="299"/>
      <c r="X35" s="299"/>
      <c r="Y35" s="299"/>
    </row>
    <row r="36" spans="1:25">
      <c r="A36" s="250"/>
      <c r="B36" s="250"/>
      <c r="C36" s="250"/>
      <c r="D36" s="250"/>
      <c r="E36" s="250"/>
      <c r="F36" s="250"/>
      <c r="G36" s="250"/>
      <c r="H36" s="250"/>
      <c r="I36" s="299"/>
      <c r="J36" s="299"/>
      <c r="K36" s="299"/>
      <c r="L36" s="299"/>
      <c r="M36" s="299"/>
      <c r="N36" s="299"/>
      <c r="O36" s="250"/>
      <c r="P36" s="250"/>
      <c r="Q36" s="299"/>
      <c r="R36" s="299"/>
      <c r="S36" s="299"/>
      <c r="T36" s="299"/>
      <c r="U36" s="299"/>
      <c r="V36" s="299"/>
      <c r="W36" s="299"/>
      <c r="X36" s="299"/>
      <c r="Y36" s="299"/>
    </row>
    <row r="37" spans="1:25">
      <c r="A37" s="250"/>
      <c r="B37" s="250"/>
      <c r="C37" s="250"/>
      <c r="D37" s="250"/>
      <c r="E37" s="250"/>
      <c r="F37" s="250"/>
      <c r="G37" s="250"/>
      <c r="H37" s="250"/>
      <c r="I37" s="299"/>
      <c r="J37" s="299"/>
      <c r="K37" s="299"/>
      <c r="L37" s="299"/>
      <c r="M37" s="299"/>
      <c r="N37" s="299"/>
      <c r="O37" s="250"/>
      <c r="P37" s="250"/>
      <c r="Q37" s="299"/>
      <c r="R37" s="299"/>
      <c r="S37" s="299"/>
      <c r="T37" s="299"/>
      <c r="U37" s="299"/>
      <c r="V37" s="299"/>
      <c r="W37" s="299"/>
      <c r="X37" s="299"/>
      <c r="Y37" s="299"/>
    </row>
    <row r="38" spans="1:25">
      <c r="A38" s="250"/>
      <c r="B38" s="250"/>
      <c r="C38" s="250"/>
      <c r="D38" s="250"/>
      <c r="E38" s="250"/>
      <c r="F38" s="250"/>
      <c r="G38" s="250"/>
      <c r="H38" s="250"/>
      <c r="I38" s="299"/>
      <c r="J38" s="299"/>
      <c r="K38" s="299"/>
      <c r="L38" s="299"/>
      <c r="M38" s="299"/>
      <c r="N38" s="299"/>
      <c r="O38" s="250"/>
      <c r="P38" s="250"/>
      <c r="Q38" s="299"/>
      <c r="R38" s="299"/>
      <c r="S38" s="299"/>
      <c r="T38" s="299"/>
      <c r="U38" s="299"/>
      <c r="V38" s="299"/>
      <c r="W38" s="299"/>
      <c r="X38" s="299"/>
      <c r="Y38" s="299"/>
    </row>
    <row r="39" spans="1:25">
      <c r="A39" s="250"/>
      <c r="B39" s="250"/>
      <c r="C39" s="250"/>
      <c r="D39" s="250"/>
      <c r="E39" s="250"/>
      <c r="F39" s="250"/>
      <c r="G39" s="250"/>
      <c r="H39" s="250"/>
      <c r="I39" s="299"/>
      <c r="J39" s="299"/>
      <c r="K39" s="299"/>
      <c r="L39" s="299"/>
      <c r="M39" s="299"/>
      <c r="N39" s="299"/>
      <c r="O39" s="250"/>
      <c r="P39" s="250"/>
      <c r="Q39" s="299"/>
      <c r="R39" s="299"/>
      <c r="S39" s="299"/>
      <c r="T39" s="299"/>
      <c r="U39" s="299"/>
      <c r="V39" s="299"/>
      <c r="W39" s="299"/>
      <c r="X39" s="299"/>
      <c r="Y39" s="299"/>
    </row>
    <row r="40" spans="1:25">
      <c r="A40" s="250"/>
      <c r="B40" s="250"/>
      <c r="C40" s="250"/>
      <c r="D40" s="250"/>
      <c r="E40" s="250"/>
      <c r="F40" s="250"/>
      <c r="G40" s="250"/>
      <c r="H40" s="250"/>
      <c r="I40" s="299"/>
      <c r="J40" s="299"/>
      <c r="K40" s="299"/>
      <c r="L40" s="299"/>
      <c r="M40" s="299"/>
      <c r="N40" s="299"/>
      <c r="O40" s="250"/>
      <c r="P40" s="250"/>
      <c r="Q40" s="299"/>
      <c r="R40" s="299"/>
      <c r="S40" s="299"/>
      <c r="T40" s="299"/>
      <c r="U40" s="299"/>
      <c r="V40" s="299"/>
      <c r="W40" s="299"/>
      <c r="X40" s="299"/>
      <c r="Y40" s="299"/>
    </row>
    <row r="41" spans="1:25">
      <c r="A41" s="250"/>
      <c r="B41" s="250"/>
      <c r="C41" s="250"/>
      <c r="D41" s="250"/>
      <c r="E41" s="250"/>
      <c r="F41" s="250"/>
      <c r="G41" s="250"/>
      <c r="H41" s="250"/>
      <c r="I41" s="299"/>
      <c r="J41" s="299"/>
      <c r="K41" s="299"/>
      <c r="L41" s="299"/>
      <c r="M41" s="299"/>
      <c r="N41" s="299"/>
      <c r="O41" s="250"/>
      <c r="P41" s="250"/>
      <c r="Q41" s="299"/>
      <c r="R41" s="299"/>
      <c r="S41" s="299"/>
      <c r="T41" s="299"/>
      <c r="U41" s="299"/>
      <c r="V41" s="299"/>
      <c r="W41" s="299"/>
      <c r="X41" s="299"/>
      <c r="Y41" s="299"/>
    </row>
    <row r="42" spans="1:25">
      <c r="A42" s="250"/>
      <c r="B42" s="250"/>
      <c r="C42" s="250"/>
      <c r="D42" s="250"/>
      <c r="E42" s="250"/>
      <c r="F42" s="250"/>
      <c r="G42" s="250"/>
      <c r="H42" s="250"/>
      <c r="I42" s="299"/>
      <c r="J42" s="299"/>
      <c r="K42" s="299"/>
      <c r="L42" s="299"/>
      <c r="M42" s="299"/>
      <c r="N42" s="299"/>
      <c r="O42" s="250"/>
      <c r="P42" s="250"/>
      <c r="Q42" s="299"/>
      <c r="R42" s="299"/>
      <c r="S42" s="299"/>
      <c r="T42" s="299"/>
      <c r="U42" s="299"/>
      <c r="V42" s="299"/>
      <c r="W42" s="299"/>
      <c r="X42" s="299"/>
      <c r="Y42" s="299"/>
    </row>
    <row r="43" spans="1:25">
      <c r="A43" s="250"/>
      <c r="B43" s="250"/>
      <c r="C43" s="250"/>
      <c r="D43" s="250"/>
      <c r="E43" s="250"/>
      <c r="F43" s="250"/>
      <c r="G43" s="250"/>
      <c r="H43" s="250"/>
      <c r="I43" s="250"/>
      <c r="J43" s="250"/>
      <c r="K43" s="250"/>
      <c r="L43" s="250"/>
      <c r="M43" s="250"/>
      <c r="N43" s="250"/>
      <c r="O43" s="250"/>
      <c r="P43" s="250"/>
      <c r="Q43" s="299"/>
      <c r="R43" s="299"/>
      <c r="S43" s="299"/>
      <c r="T43" s="299"/>
      <c r="U43" s="299"/>
      <c r="V43" s="299"/>
      <c r="W43" s="299"/>
      <c r="X43" s="299"/>
      <c r="Y43" s="299"/>
    </row>
    <row r="44" spans="1:25">
      <c r="A44" s="250"/>
      <c r="B44" s="250"/>
      <c r="C44" s="250"/>
      <c r="D44" s="250"/>
      <c r="E44" s="250"/>
      <c r="F44" s="250"/>
      <c r="G44" s="250"/>
      <c r="H44" s="250"/>
      <c r="I44" s="250"/>
      <c r="J44" s="250"/>
      <c r="K44" s="250"/>
      <c r="L44" s="250"/>
      <c r="M44" s="250"/>
      <c r="N44" s="250"/>
      <c r="O44" s="250"/>
      <c r="P44" s="250"/>
      <c r="Q44" s="299"/>
      <c r="R44" s="299"/>
      <c r="S44" s="299"/>
      <c r="T44" s="299"/>
      <c r="U44" s="299"/>
      <c r="V44" s="299"/>
      <c r="W44" s="299"/>
      <c r="X44" s="299"/>
      <c r="Y44" s="299"/>
    </row>
    <row r="45" spans="1:25">
      <c r="A45" s="250"/>
      <c r="B45" s="250"/>
      <c r="C45" s="250"/>
      <c r="D45" s="250"/>
      <c r="E45" s="250"/>
      <c r="F45" s="250"/>
      <c r="G45" s="250"/>
      <c r="H45" s="250"/>
      <c r="I45" s="250"/>
      <c r="J45" s="250"/>
      <c r="K45" s="250"/>
      <c r="L45" s="250"/>
      <c r="M45" s="250"/>
      <c r="N45" s="250"/>
      <c r="O45" s="250"/>
      <c r="P45" s="250"/>
      <c r="Q45" s="299"/>
      <c r="R45" s="299"/>
      <c r="S45" s="299"/>
      <c r="T45" s="299"/>
      <c r="U45" s="299"/>
      <c r="V45" s="299"/>
      <c r="W45" s="299"/>
      <c r="X45" s="299"/>
      <c r="Y45" s="299"/>
    </row>
    <row r="46" spans="1:25">
      <c r="A46" s="250"/>
      <c r="B46" s="250"/>
      <c r="C46" s="250"/>
      <c r="D46" s="250"/>
      <c r="E46" s="250"/>
      <c r="F46" s="250"/>
      <c r="G46" s="250"/>
      <c r="H46" s="250"/>
      <c r="I46" s="250"/>
      <c r="J46" s="250"/>
      <c r="K46" s="250"/>
      <c r="L46" s="250"/>
      <c r="M46" s="250"/>
      <c r="N46" s="250"/>
      <c r="O46" s="250"/>
      <c r="P46" s="250"/>
      <c r="Q46" s="299"/>
      <c r="R46" s="299"/>
      <c r="S46" s="299"/>
      <c r="T46" s="299"/>
      <c r="U46" s="299"/>
      <c r="V46" s="299"/>
      <c r="W46" s="299"/>
      <c r="X46" s="299"/>
      <c r="Y46" s="299"/>
    </row>
    <row r="47" spans="1:25">
      <c r="A47" s="250"/>
      <c r="B47" s="250"/>
      <c r="C47" s="250"/>
      <c r="D47" s="250"/>
      <c r="E47" s="250"/>
      <c r="F47" s="250"/>
      <c r="G47" s="250"/>
      <c r="H47" s="250"/>
      <c r="I47" s="250"/>
      <c r="J47" s="250"/>
      <c r="K47" s="250"/>
      <c r="L47" s="250"/>
      <c r="M47" s="250"/>
      <c r="N47" s="250"/>
      <c r="O47" s="250"/>
      <c r="P47" s="250"/>
      <c r="Q47" s="299"/>
      <c r="R47" s="299"/>
      <c r="S47" s="299"/>
      <c r="T47" s="299"/>
      <c r="U47" s="299"/>
      <c r="V47" s="299"/>
      <c r="W47" s="299"/>
      <c r="X47" s="299"/>
      <c r="Y47" s="299"/>
    </row>
    <row r="48" spans="1:25">
      <c r="A48" s="250"/>
      <c r="B48" s="250"/>
      <c r="C48" s="250"/>
      <c r="D48" s="250"/>
      <c r="E48" s="250"/>
      <c r="F48" s="250"/>
      <c r="G48" s="250"/>
      <c r="H48" s="250"/>
      <c r="I48" s="250"/>
      <c r="J48" s="250"/>
      <c r="K48" s="250"/>
      <c r="L48" s="250"/>
      <c r="M48" s="250"/>
      <c r="N48" s="250"/>
      <c r="O48" s="250"/>
      <c r="P48" s="250"/>
      <c r="Q48" s="299"/>
      <c r="R48" s="299"/>
      <c r="S48" s="299"/>
      <c r="T48" s="299"/>
      <c r="U48" s="299"/>
      <c r="V48" s="299"/>
      <c r="W48" s="299"/>
      <c r="X48" s="299"/>
      <c r="Y48" s="299"/>
    </row>
    <row r="49" spans="1:25">
      <c r="A49" s="250"/>
      <c r="B49" s="250"/>
      <c r="C49" s="250"/>
      <c r="D49" s="250"/>
      <c r="E49" s="250"/>
      <c r="F49" s="250"/>
      <c r="G49" s="250"/>
      <c r="H49" s="250"/>
      <c r="I49" s="250"/>
      <c r="J49" s="250"/>
      <c r="K49" s="250"/>
      <c r="L49" s="250"/>
      <c r="M49" s="250"/>
      <c r="N49" s="250"/>
      <c r="O49" s="250"/>
      <c r="P49" s="250"/>
      <c r="Q49" s="299"/>
      <c r="R49" s="299"/>
      <c r="S49" s="299"/>
      <c r="T49" s="299"/>
      <c r="U49" s="299"/>
      <c r="V49" s="299"/>
      <c r="W49" s="299"/>
      <c r="X49" s="299"/>
      <c r="Y49" s="299"/>
    </row>
    <row r="50" spans="1:25">
      <c r="A50" s="250"/>
      <c r="B50" s="250"/>
      <c r="C50" s="250"/>
      <c r="D50" s="250"/>
      <c r="E50" s="250"/>
      <c r="F50" s="250"/>
      <c r="G50" s="250"/>
      <c r="H50" s="250"/>
      <c r="I50" s="250"/>
      <c r="J50" s="250"/>
      <c r="K50" s="250"/>
      <c r="L50" s="250"/>
      <c r="M50" s="250"/>
      <c r="N50" s="250"/>
      <c r="O50" s="250"/>
      <c r="P50" s="250"/>
      <c r="Q50" s="299"/>
      <c r="R50" s="299"/>
      <c r="S50" s="299"/>
      <c r="T50" s="299"/>
      <c r="U50" s="299"/>
      <c r="V50" s="299"/>
      <c r="W50" s="299"/>
      <c r="X50" s="299"/>
      <c r="Y50" s="299"/>
    </row>
    <row r="51" spans="1:25">
      <c r="A51" s="250"/>
      <c r="B51" s="250"/>
      <c r="C51" s="250"/>
      <c r="D51" s="250"/>
      <c r="E51" s="250"/>
      <c r="F51" s="250"/>
      <c r="G51" s="250"/>
      <c r="H51" s="250"/>
      <c r="I51" s="250"/>
      <c r="J51" s="250"/>
      <c r="K51" s="250"/>
      <c r="L51" s="250"/>
      <c r="M51" s="250"/>
      <c r="N51" s="250"/>
      <c r="O51" s="250"/>
      <c r="P51" s="250"/>
      <c r="Q51" s="299"/>
      <c r="R51" s="299"/>
      <c r="S51" s="299"/>
      <c r="T51" s="299"/>
      <c r="U51" s="299"/>
      <c r="V51" s="299"/>
      <c r="W51" s="299"/>
      <c r="X51" s="299"/>
      <c r="Y51" s="299"/>
    </row>
    <row r="52" spans="1:25">
      <c r="A52" s="250"/>
      <c r="B52" s="250"/>
      <c r="C52" s="250"/>
      <c r="D52" s="250"/>
      <c r="E52" s="250"/>
      <c r="F52" s="250"/>
      <c r="G52" s="250"/>
      <c r="H52" s="250"/>
      <c r="I52" s="250"/>
      <c r="J52" s="250"/>
      <c r="K52" s="250"/>
      <c r="L52" s="250"/>
      <c r="M52" s="250"/>
      <c r="N52" s="250"/>
      <c r="O52" s="250"/>
      <c r="P52" s="250"/>
      <c r="Q52" s="299"/>
      <c r="R52" s="299"/>
      <c r="S52" s="299"/>
      <c r="T52" s="299"/>
      <c r="U52" s="299"/>
      <c r="V52" s="299"/>
      <c r="W52" s="299"/>
      <c r="X52" s="299"/>
      <c r="Y52" s="299"/>
    </row>
    <row r="53" spans="1:25">
      <c r="A53" s="250"/>
      <c r="B53" s="250"/>
      <c r="C53" s="250"/>
      <c r="D53" s="250"/>
      <c r="E53" s="250"/>
      <c r="F53" s="250"/>
      <c r="G53" s="250"/>
      <c r="H53" s="250"/>
      <c r="I53" s="250"/>
      <c r="J53" s="250"/>
      <c r="K53" s="250"/>
      <c r="L53" s="250"/>
      <c r="M53" s="250"/>
      <c r="N53" s="250"/>
      <c r="O53" s="250"/>
      <c r="P53" s="250"/>
      <c r="Q53" s="299"/>
      <c r="R53" s="299"/>
      <c r="S53" s="299"/>
      <c r="T53" s="299"/>
      <c r="U53" s="299"/>
      <c r="V53" s="299"/>
      <c r="W53" s="299"/>
      <c r="X53" s="299"/>
      <c r="Y53" s="299"/>
    </row>
    <row r="54" spans="1:25">
      <c r="A54" s="250"/>
      <c r="B54" s="250"/>
      <c r="C54" s="250"/>
      <c r="D54" s="250"/>
      <c r="E54" s="250"/>
      <c r="F54" s="250"/>
      <c r="G54" s="250"/>
      <c r="H54" s="250"/>
      <c r="I54" s="250"/>
      <c r="J54" s="250"/>
      <c r="K54" s="250"/>
      <c r="L54" s="250"/>
      <c r="M54" s="250"/>
      <c r="N54" s="250"/>
      <c r="O54" s="250"/>
      <c r="P54" s="250"/>
      <c r="Q54" s="299"/>
      <c r="R54" s="299"/>
      <c r="S54" s="299"/>
      <c r="T54" s="299"/>
      <c r="U54" s="299"/>
      <c r="V54" s="299"/>
      <c r="W54" s="299"/>
      <c r="X54" s="299"/>
      <c r="Y54" s="299"/>
    </row>
    <row r="55" spans="1:25">
      <c r="A55" s="250"/>
      <c r="B55" s="250"/>
      <c r="C55" s="250"/>
      <c r="D55" s="250"/>
      <c r="E55" s="250"/>
      <c r="F55" s="250"/>
      <c r="G55" s="250"/>
      <c r="H55" s="250"/>
      <c r="I55" s="250"/>
      <c r="J55" s="250"/>
      <c r="K55" s="250"/>
      <c r="L55" s="250"/>
      <c r="M55" s="250"/>
      <c r="N55" s="250"/>
      <c r="O55" s="250"/>
      <c r="P55" s="250"/>
      <c r="Q55" s="299"/>
      <c r="R55" s="299"/>
      <c r="S55" s="299"/>
      <c r="T55" s="299"/>
      <c r="U55" s="299"/>
      <c r="V55" s="299"/>
      <c r="W55" s="299"/>
      <c r="X55" s="299"/>
      <c r="Y55" s="299"/>
    </row>
    <row r="56" spans="1:25">
      <c r="A56" s="250"/>
      <c r="B56" s="250"/>
      <c r="C56" s="250"/>
      <c r="D56" s="250"/>
      <c r="E56" s="250"/>
      <c r="F56" s="250"/>
      <c r="G56" s="250"/>
      <c r="H56" s="250"/>
      <c r="I56" s="250"/>
      <c r="J56" s="250"/>
      <c r="K56" s="250"/>
      <c r="L56" s="250"/>
      <c r="M56" s="250"/>
      <c r="N56" s="250"/>
      <c r="O56" s="250"/>
      <c r="P56" s="250"/>
      <c r="Q56" s="299"/>
      <c r="R56" s="299"/>
      <c r="S56" s="299"/>
      <c r="T56" s="299"/>
      <c r="U56" s="299"/>
      <c r="V56" s="299"/>
      <c r="W56" s="299"/>
      <c r="X56" s="299"/>
      <c r="Y56" s="299"/>
    </row>
    <row r="57" spans="1:25">
      <c r="A57" s="250"/>
      <c r="B57" s="250"/>
      <c r="C57" s="250"/>
      <c r="D57" s="250"/>
      <c r="E57" s="250"/>
      <c r="F57" s="250"/>
      <c r="G57" s="250"/>
      <c r="H57" s="250"/>
      <c r="I57" s="250"/>
      <c r="J57" s="250"/>
      <c r="K57" s="250"/>
      <c r="L57" s="250"/>
      <c r="M57" s="250"/>
      <c r="N57" s="250"/>
      <c r="O57" s="250"/>
      <c r="P57" s="250"/>
      <c r="Q57" s="299"/>
      <c r="R57" s="299"/>
      <c r="S57" s="299"/>
      <c r="T57" s="299"/>
      <c r="U57" s="299"/>
      <c r="V57" s="299"/>
      <c r="W57" s="299"/>
      <c r="X57" s="299"/>
      <c r="Y57" s="299"/>
    </row>
    <row r="58" spans="1:25">
      <c r="A58" s="250"/>
      <c r="B58" s="250"/>
      <c r="C58" s="250"/>
      <c r="D58" s="250"/>
      <c r="E58" s="250"/>
      <c r="F58" s="250"/>
      <c r="G58" s="250"/>
      <c r="H58" s="250"/>
      <c r="I58" s="250"/>
      <c r="J58" s="250"/>
      <c r="K58" s="250"/>
      <c r="L58" s="250"/>
      <c r="M58" s="250"/>
      <c r="N58" s="250"/>
      <c r="O58" s="250"/>
      <c r="P58" s="250"/>
      <c r="Q58" s="299"/>
      <c r="R58" s="299"/>
      <c r="S58" s="299"/>
      <c r="T58" s="299"/>
      <c r="U58" s="299"/>
      <c r="V58" s="299"/>
      <c r="W58" s="299"/>
      <c r="X58" s="299"/>
      <c r="Y58" s="299"/>
    </row>
    <row r="59" spans="1:25">
      <c r="A59" s="250"/>
      <c r="B59" s="250"/>
      <c r="C59" s="250"/>
      <c r="D59" s="250"/>
      <c r="E59" s="250"/>
      <c r="F59" s="250"/>
      <c r="G59" s="250"/>
      <c r="H59" s="250"/>
      <c r="I59" s="250"/>
      <c r="J59" s="250"/>
      <c r="K59" s="250"/>
      <c r="L59" s="250"/>
      <c r="M59" s="250"/>
      <c r="N59" s="250"/>
      <c r="O59" s="250"/>
      <c r="P59" s="250"/>
      <c r="Q59" s="299"/>
      <c r="R59" s="299"/>
      <c r="S59" s="299"/>
      <c r="T59" s="299"/>
      <c r="U59" s="299"/>
      <c r="V59" s="299"/>
      <c r="W59" s="299"/>
      <c r="X59" s="299"/>
      <c r="Y59" s="299"/>
    </row>
    <row r="60" spans="1:25">
      <c r="A60" s="250"/>
      <c r="B60" s="250"/>
      <c r="C60" s="250"/>
      <c r="D60" s="250"/>
      <c r="E60" s="250"/>
      <c r="F60" s="250"/>
      <c r="G60" s="250"/>
      <c r="H60" s="250"/>
      <c r="I60" s="250"/>
      <c r="J60" s="250"/>
      <c r="K60" s="250"/>
      <c r="L60" s="250"/>
      <c r="M60" s="250"/>
      <c r="N60" s="250"/>
      <c r="O60" s="250"/>
      <c r="P60" s="250"/>
      <c r="Q60" s="299"/>
      <c r="R60" s="299"/>
      <c r="S60" s="299"/>
      <c r="T60" s="299"/>
      <c r="U60" s="299"/>
      <c r="V60" s="299"/>
      <c r="W60" s="299"/>
      <c r="X60" s="299"/>
      <c r="Y60" s="299"/>
    </row>
    <row r="61" spans="1:25">
      <c r="A61" s="250"/>
      <c r="B61" s="250"/>
      <c r="C61" s="250"/>
      <c r="D61" s="250"/>
      <c r="E61" s="250"/>
      <c r="F61" s="250"/>
      <c r="G61" s="250"/>
      <c r="H61" s="250"/>
      <c r="I61" s="250"/>
      <c r="J61" s="250"/>
      <c r="K61" s="250"/>
      <c r="L61" s="250"/>
      <c r="M61" s="250"/>
      <c r="N61" s="250"/>
      <c r="O61" s="250"/>
      <c r="P61" s="250"/>
      <c r="Q61" s="299"/>
      <c r="R61" s="299"/>
      <c r="S61" s="299"/>
      <c r="T61" s="299"/>
      <c r="U61" s="299"/>
      <c r="V61" s="299"/>
      <c r="W61" s="299"/>
      <c r="X61" s="299"/>
      <c r="Y61" s="299"/>
    </row>
    <row r="62" spans="1:25">
      <c r="A62" s="250"/>
      <c r="B62" s="250"/>
      <c r="C62" s="250"/>
      <c r="D62" s="250"/>
      <c r="E62" s="250"/>
      <c r="F62" s="250"/>
      <c r="G62" s="250"/>
      <c r="H62" s="250"/>
      <c r="I62" s="250"/>
      <c r="J62" s="250"/>
      <c r="K62" s="250"/>
      <c r="L62" s="250"/>
      <c r="M62" s="250"/>
      <c r="N62" s="250"/>
      <c r="O62" s="250"/>
      <c r="P62" s="250"/>
      <c r="Q62" s="299"/>
      <c r="R62" s="299"/>
      <c r="S62" s="299"/>
      <c r="T62" s="299"/>
      <c r="U62" s="299"/>
      <c r="V62" s="299"/>
      <c r="W62" s="299"/>
      <c r="X62" s="299"/>
      <c r="Y62" s="299"/>
    </row>
    <row r="63" spans="1:25">
      <c r="A63" s="250"/>
      <c r="B63" s="250"/>
      <c r="C63" s="250"/>
      <c r="D63" s="250"/>
      <c r="E63" s="250"/>
      <c r="F63" s="250"/>
      <c r="G63" s="250"/>
      <c r="H63" s="250"/>
      <c r="I63" s="250"/>
      <c r="J63" s="250"/>
      <c r="K63" s="250"/>
      <c r="L63" s="250"/>
      <c r="M63" s="250"/>
      <c r="N63" s="250"/>
      <c r="O63" s="250"/>
      <c r="P63" s="250"/>
      <c r="Q63" s="299"/>
      <c r="R63" s="299"/>
      <c r="S63" s="299"/>
      <c r="T63" s="299"/>
      <c r="U63" s="299"/>
      <c r="V63" s="299"/>
      <c r="W63" s="299"/>
      <c r="X63" s="299"/>
      <c r="Y63" s="299"/>
    </row>
    <row r="64" spans="1:25">
      <c r="A64" s="250"/>
      <c r="B64" s="250"/>
      <c r="C64" s="250"/>
      <c r="D64" s="250"/>
      <c r="E64" s="250"/>
      <c r="F64" s="250"/>
      <c r="G64" s="250"/>
      <c r="H64" s="250"/>
      <c r="I64" s="250"/>
      <c r="J64" s="250"/>
      <c r="K64" s="250"/>
      <c r="L64" s="250"/>
      <c r="M64" s="250"/>
      <c r="N64" s="250"/>
      <c r="O64" s="250"/>
      <c r="P64" s="250"/>
      <c r="Q64" s="299"/>
      <c r="R64" s="299"/>
      <c r="S64" s="299"/>
      <c r="T64" s="299"/>
      <c r="U64" s="299"/>
      <c r="V64" s="299"/>
      <c r="W64" s="299"/>
      <c r="X64" s="299"/>
      <c r="Y64" s="299"/>
    </row>
    <row r="65" spans="1:25">
      <c r="A65" s="250"/>
      <c r="B65" s="250"/>
      <c r="C65" s="250"/>
      <c r="D65" s="250"/>
      <c r="E65" s="250"/>
      <c r="F65" s="250"/>
      <c r="G65" s="250"/>
      <c r="H65" s="250"/>
      <c r="I65" s="250"/>
      <c r="J65" s="250"/>
      <c r="K65" s="250"/>
      <c r="L65" s="250"/>
      <c r="M65" s="250"/>
      <c r="N65" s="250"/>
      <c r="O65" s="250"/>
      <c r="P65" s="250"/>
      <c r="Q65" s="299"/>
      <c r="R65" s="299"/>
      <c r="S65" s="299"/>
      <c r="T65" s="299"/>
      <c r="U65" s="299"/>
      <c r="V65" s="299"/>
      <c r="W65" s="299"/>
      <c r="X65" s="299"/>
      <c r="Y65" s="299"/>
    </row>
    <row r="66" spans="1:25">
      <c r="A66" s="250"/>
      <c r="B66" s="250"/>
      <c r="C66" s="250"/>
      <c r="D66" s="250"/>
      <c r="E66" s="250"/>
      <c r="F66" s="250"/>
      <c r="G66" s="250"/>
      <c r="H66" s="250"/>
      <c r="I66" s="250"/>
      <c r="J66" s="250"/>
      <c r="K66" s="250"/>
      <c r="L66" s="250"/>
      <c r="M66" s="250"/>
      <c r="N66" s="250"/>
      <c r="O66" s="250"/>
      <c r="P66" s="250"/>
      <c r="Q66" s="299"/>
      <c r="R66" s="299"/>
      <c r="S66" s="299"/>
      <c r="T66" s="299"/>
      <c r="U66" s="299"/>
      <c r="V66" s="299"/>
      <c r="W66" s="299"/>
      <c r="X66" s="299"/>
      <c r="Y66" s="299"/>
    </row>
    <row r="67" spans="1:25">
      <c r="A67" s="250"/>
      <c r="B67" s="250"/>
      <c r="C67" s="250"/>
      <c r="D67" s="250"/>
      <c r="E67" s="250"/>
      <c r="F67" s="250"/>
      <c r="G67" s="250"/>
      <c r="H67" s="250"/>
      <c r="I67" s="250"/>
      <c r="J67" s="250"/>
      <c r="K67" s="250"/>
      <c r="L67" s="250"/>
      <c r="M67" s="250"/>
      <c r="N67" s="250"/>
      <c r="O67" s="250"/>
      <c r="P67" s="250"/>
      <c r="Q67" s="299"/>
      <c r="R67" s="299"/>
      <c r="S67" s="299"/>
      <c r="T67" s="299"/>
      <c r="U67" s="299"/>
      <c r="V67" s="299"/>
      <c r="W67" s="299"/>
      <c r="X67" s="299"/>
      <c r="Y67" s="299"/>
    </row>
    <row r="68" spans="1:25">
      <c r="A68" s="250"/>
      <c r="B68" s="250"/>
      <c r="C68" s="250"/>
      <c r="D68" s="250"/>
      <c r="E68" s="250"/>
      <c r="F68" s="250"/>
      <c r="G68" s="250"/>
      <c r="H68" s="250"/>
      <c r="I68" s="250"/>
      <c r="J68" s="250"/>
      <c r="K68" s="250"/>
      <c r="L68" s="250"/>
      <c r="M68" s="250"/>
      <c r="N68" s="250"/>
      <c r="O68" s="250"/>
      <c r="P68" s="250"/>
      <c r="Q68" s="299"/>
      <c r="R68" s="299"/>
      <c r="S68" s="299"/>
      <c r="T68" s="299"/>
      <c r="U68" s="299"/>
      <c r="V68" s="299"/>
      <c r="W68" s="299"/>
      <c r="X68" s="299"/>
      <c r="Y68" s="299"/>
    </row>
    <row r="69" spans="1:25">
      <c r="A69" s="250"/>
      <c r="B69" s="250"/>
      <c r="C69" s="250"/>
      <c r="D69" s="250"/>
      <c r="E69" s="250"/>
      <c r="F69" s="250"/>
      <c r="G69" s="250"/>
      <c r="H69" s="250"/>
      <c r="I69" s="250"/>
      <c r="J69" s="250"/>
      <c r="K69" s="250"/>
      <c r="L69" s="250"/>
      <c r="M69" s="250"/>
      <c r="N69" s="250"/>
      <c r="O69" s="250"/>
      <c r="P69" s="250"/>
      <c r="Q69" s="299"/>
      <c r="R69" s="299"/>
      <c r="S69" s="299"/>
      <c r="T69" s="299"/>
      <c r="U69" s="299"/>
      <c r="V69" s="299"/>
      <c r="W69" s="299"/>
      <c r="X69" s="299"/>
      <c r="Y69" s="299"/>
    </row>
    <row r="70" spans="1:25">
      <c r="A70" s="250"/>
      <c r="B70" s="250"/>
      <c r="C70" s="250"/>
      <c r="D70" s="250"/>
      <c r="E70" s="250"/>
      <c r="F70" s="250"/>
      <c r="G70" s="250"/>
      <c r="H70" s="250"/>
      <c r="I70" s="250"/>
      <c r="J70" s="250"/>
      <c r="K70" s="250"/>
      <c r="L70" s="250"/>
      <c r="M70" s="250"/>
      <c r="N70" s="250"/>
      <c r="O70" s="250"/>
      <c r="P70" s="250"/>
      <c r="Q70" s="299"/>
      <c r="R70" s="299"/>
      <c r="S70" s="299"/>
      <c r="T70" s="299"/>
      <c r="U70" s="299"/>
      <c r="V70" s="299"/>
      <c r="W70" s="299"/>
      <c r="X70" s="299"/>
      <c r="Y70" s="299"/>
    </row>
    <row r="71" spans="1:25">
      <c r="A71" s="250"/>
      <c r="B71" s="250"/>
      <c r="C71" s="250"/>
      <c r="D71" s="250"/>
      <c r="E71" s="250"/>
      <c r="F71" s="250"/>
      <c r="G71" s="250"/>
      <c r="H71" s="250"/>
      <c r="I71" s="250"/>
      <c r="J71" s="250"/>
      <c r="K71" s="250"/>
      <c r="L71" s="250"/>
      <c r="M71" s="250"/>
      <c r="N71" s="250"/>
      <c r="O71" s="250"/>
      <c r="P71" s="250"/>
      <c r="Q71" s="299"/>
      <c r="R71" s="299"/>
      <c r="S71" s="299"/>
      <c r="T71" s="299"/>
      <c r="U71" s="299"/>
      <c r="V71" s="299"/>
      <c r="W71" s="299"/>
      <c r="X71" s="299"/>
      <c r="Y71" s="299"/>
    </row>
    <row r="72" spans="1:25">
      <c r="A72" s="250"/>
      <c r="B72" s="250"/>
      <c r="C72" s="250"/>
      <c r="D72" s="250"/>
      <c r="E72" s="250"/>
      <c r="F72" s="250"/>
      <c r="G72" s="250"/>
      <c r="H72" s="250"/>
      <c r="I72" s="250"/>
      <c r="J72" s="250"/>
      <c r="K72" s="250"/>
      <c r="L72" s="250"/>
      <c r="M72" s="250"/>
      <c r="N72" s="250"/>
      <c r="O72" s="250"/>
      <c r="P72" s="250"/>
      <c r="Q72" s="299"/>
      <c r="R72" s="299"/>
      <c r="S72" s="299"/>
      <c r="T72" s="299"/>
      <c r="U72" s="299"/>
      <c r="V72" s="299"/>
      <c r="W72" s="299"/>
      <c r="X72" s="299"/>
      <c r="Y72" s="299"/>
    </row>
    <row r="73" spans="1:25">
      <c r="A73" s="250"/>
      <c r="B73" s="250"/>
      <c r="C73" s="250"/>
      <c r="D73" s="250"/>
      <c r="E73" s="250"/>
      <c r="F73" s="250"/>
      <c r="G73" s="250"/>
      <c r="H73" s="250"/>
      <c r="I73" s="250"/>
      <c r="J73" s="250"/>
      <c r="K73" s="250"/>
      <c r="L73" s="250"/>
      <c r="M73" s="250"/>
      <c r="N73" s="250"/>
      <c r="O73" s="250"/>
      <c r="P73" s="250"/>
      <c r="Q73" s="299"/>
      <c r="R73" s="299"/>
      <c r="S73" s="299"/>
      <c r="T73" s="299"/>
      <c r="U73" s="299"/>
      <c r="V73" s="299"/>
      <c r="W73" s="299"/>
      <c r="X73" s="299"/>
      <c r="Y73" s="299"/>
    </row>
    <row r="74" spans="1:25">
      <c r="A74" s="250"/>
      <c r="B74" s="250"/>
      <c r="C74" s="250"/>
      <c r="D74" s="250"/>
      <c r="E74" s="250"/>
      <c r="F74" s="250"/>
      <c r="G74" s="250"/>
      <c r="H74" s="250"/>
      <c r="I74" s="250"/>
      <c r="J74" s="250"/>
      <c r="K74" s="250"/>
      <c r="L74" s="250"/>
      <c r="M74" s="250"/>
      <c r="N74" s="250"/>
      <c r="O74" s="250"/>
      <c r="P74" s="250"/>
      <c r="Q74" s="299"/>
      <c r="R74" s="299"/>
      <c r="S74" s="299"/>
      <c r="T74" s="299"/>
      <c r="U74" s="299"/>
      <c r="V74" s="299"/>
      <c r="W74" s="299"/>
      <c r="X74" s="299"/>
      <c r="Y74" s="299"/>
    </row>
    <row r="75" spans="1:25">
      <c r="A75" s="250"/>
      <c r="B75" s="250"/>
      <c r="C75" s="250"/>
      <c r="D75" s="250"/>
      <c r="E75" s="250"/>
      <c r="F75" s="250"/>
      <c r="G75" s="250"/>
      <c r="H75" s="250"/>
      <c r="I75" s="250"/>
      <c r="J75" s="250"/>
      <c r="K75" s="250"/>
      <c r="L75" s="250"/>
      <c r="M75" s="250"/>
      <c r="N75" s="250"/>
      <c r="O75" s="250"/>
      <c r="P75" s="250"/>
      <c r="Q75" s="299"/>
      <c r="R75" s="299"/>
      <c r="S75" s="299"/>
      <c r="T75" s="299"/>
      <c r="U75" s="299"/>
      <c r="V75" s="299"/>
      <c r="W75" s="299"/>
      <c r="X75" s="299"/>
      <c r="Y75" s="299"/>
    </row>
    <row r="76" spans="1:25">
      <c r="A76" s="250"/>
      <c r="B76" s="250"/>
      <c r="C76" s="250"/>
      <c r="D76" s="250"/>
      <c r="E76" s="250"/>
      <c r="F76" s="250"/>
      <c r="G76" s="250"/>
      <c r="H76" s="250"/>
      <c r="I76" s="250"/>
      <c r="J76" s="250"/>
      <c r="K76" s="250"/>
      <c r="L76" s="250"/>
      <c r="M76" s="250"/>
      <c r="N76" s="250"/>
      <c r="O76" s="250"/>
      <c r="P76" s="250"/>
      <c r="Q76" s="299"/>
      <c r="R76" s="299"/>
      <c r="S76" s="299"/>
      <c r="T76" s="299"/>
      <c r="U76" s="299"/>
      <c r="V76" s="299"/>
      <c r="W76" s="299"/>
      <c r="X76" s="299"/>
      <c r="Y76" s="299"/>
    </row>
    <row r="77" spans="1:25">
      <c r="A77" s="250"/>
      <c r="B77" s="250"/>
      <c r="C77" s="250"/>
      <c r="D77" s="250"/>
      <c r="E77" s="250"/>
      <c r="F77" s="250"/>
      <c r="G77" s="250"/>
      <c r="H77" s="250"/>
      <c r="I77" s="250"/>
      <c r="J77" s="250"/>
      <c r="K77" s="250"/>
      <c r="L77" s="250"/>
      <c r="M77" s="250"/>
      <c r="N77" s="250"/>
      <c r="O77" s="250"/>
      <c r="P77" s="250"/>
      <c r="Q77" s="299"/>
      <c r="R77" s="299"/>
      <c r="S77" s="299"/>
      <c r="T77" s="299"/>
      <c r="U77" s="299"/>
      <c r="V77" s="299"/>
      <c r="W77" s="299"/>
      <c r="X77" s="299"/>
      <c r="Y77" s="299"/>
    </row>
    <row r="78" spans="1:25">
      <c r="A78" s="250"/>
      <c r="B78" s="250"/>
      <c r="C78" s="250"/>
      <c r="D78" s="250"/>
      <c r="E78" s="250"/>
      <c r="F78" s="250"/>
      <c r="G78" s="250"/>
      <c r="H78" s="250"/>
      <c r="I78" s="250"/>
      <c r="J78" s="250"/>
      <c r="K78" s="250"/>
      <c r="L78" s="250"/>
      <c r="M78" s="250"/>
      <c r="N78" s="250"/>
      <c r="O78" s="250"/>
      <c r="P78" s="250"/>
      <c r="Q78" s="299"/>
      <c r="R78" s="299"/>
      <c r="S78" s="299"/>
      <c r="T78" s="299"/>
      <c r="U78" s="299"/>
      <c r="V78" s="299"/>
      <c r="W78" s="299"/>
      <c r="X78" s="299"/>
      <c r="Y78" s="299"/>
    </row>
    <row r="79" spans="1:25">
      <c r="A79" s="299"/>
      <c r="B79" s="299"/>
      <c r="C79" s="299"/>
      <c r="D79" s="299"/>
      <c r="E79" s="299"/>
      <c r="F79" s="299"/>
      <c r="G79" s="299"/>
      <c r="H79" s="299"/>
      <c r="I79" s="299"/>
      <c r="J79" s="299"/>
      <c r="K79" s="299"/>
      <c r="L79" s="299"/>
      <c r="M79" s="299"/>
      <c r="N79" s="299"/>
      <c r="O79" s="299"/>
      <c r="P79" s="299"/>
      <c r="Q79" s="299"/>
      <c r="R79" s="299"/>
      <c r="S79" s="299"/>
      <c r="T79" s="299"/>
      <c r="U79" s="299"/>
      <c r="V79" s="299"/>
      <c r="W79" s="299"/>
      <c r="X79" s="299"/>
      <c r="Y79" s="299"/>
    </row>
    <row r="80" spans="1:25">
      <c r="A80" s="299"/>
      <c r="B80" s="299"/>
      <c r="C80" s="299"/>
      <c r="D80" s="299"/>
      <c r="E80" s="299"/>
      <c r="F80" s="299"/>
      <c r="G80" s="299"/>
      <c r="H80" s="299"/>
      <c r="I80" s="299"/>
      <c r="J80" s="299"/>
      <c r="K80" s="299"/>
      <c r="L80" s="299"/>
      <c r="M80" s="299"/>
      <c r="N80" s="299"/>
      <c r="O80" s="299"/>
      <c r="P80" s="299"/>
      <c r="Q80" s="299"/>
      <c r="R80" s="299"/>
      <c r="S80" s="299"/>
      <c r="T80" s="299"/>
      <c r="U80" s="299"/>
      <c r="V80" s="299"/>
      <c r="W80" s="299"/>
      <c r="X80" s="299"/>
      <c r="Y80" s="299"/>
    </row>
    <row r="81" spans="1:25">
      <c r="A81" s="299"/>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row>
    <row r="82" spans="1:25">
      <c r="A82" s="299"/>
      <c r="B82" s="299"/>
      <c r="C82" s="299"/>
      <c r="D82" s="299"/>
      <c r="E82" s="299"/>
      <c r="F82" s="299"/>
      <c r="G82" s="299"/>
      <c r="H82" s="299"/>
      <c r="I82" s="299"/>
      <c r="J82" s="299"/>
      <c r="K82" s="299"/>
      <c r="L82" s="299"/>
      <c r="M82" s="299"/>
      <c r="N82" s="299"/>
      <c r="O82" s="299"/>
      <c r="P82" s="299"/>
      <c r="Q82" s="299"/>
      <c r="R82" s="299"/>
      <c r="S82" s="299"/>
      <c r="T82" s="299"/>
      <c r="U82" s="299"/>
      <c r="V82" s="299"/>
      <c r="W82" s="299"/>
      <c r="X82" s="299"/>
      <c r="Y82" s="299"/>
    </row>
    <row r="83" spans="1:25">
      <c r="A83" s="299"/>
      <c r="B83" s="299"/>
      <c r="C83" s="299"/>
      <c r="D83" s="299"/>
      <c r="E83" s="299"/>
      <c r="F83" s="299"/>
      <c r="G83" s="299"/>
      <c r="H83" s="299"/>
      <c r="I83" s="299"/>
      <c r="J83" s="299"/>
      <c r="K83" s="299"/>
      <c r="L83" s="299"/>
      <c r="M83" s="299"/>
      <c r="N83" s="299"/>
      <c r="O83" s="299"/>
      <c r="P83" s="299"/>
      <c r="Q83" s="299"/>
      <c r="R83" s="299"/>
      <c r="S83" s="299"/>
      <c r="T83" s="299"/>
      <c r="U83" s="299"/>
      <c r="V83" s="299"/>
      <c r="W83" s="299"/>
      <c r="X83" s="299"/>
      <c r="Y83" s="299"/>
    </row>
    <row r="84" spans="1:25">
      <c r="A84" s="299"/>
      <c r="B84" s="299"/>
      <c r="C84" s="299"/>
      <c r="D84" s="299"/>
      <c r="E84" s="299"/>
      <c r="F84" s="299"/>
      <c r="G84" s="299"/>
      <c r="H84" s="299"/>
      <c r="I84" s="299"/>
      <c r="J84" s="299"/>
      <c r="K84" s="299"/>
      <c r="L84" s="299"/>
      <c r="M84" s="299"/>
      <c r="N84" s="299"/>
      <c r="O84" s="299"/>
      <c r="P84" s="299"/>
      <c r="Q84" s="299"/>
      <c r="R84" s="299"/>
      <c r="S84" s="299"/>
      <c r="T84" s="299"/>
      <c r="U84" s="299"/>
      <c r="V84" s="299"/>
      <c r="W84" s="299"/>
      <c r="X84" s="299"/>
      <c r="Y84" s="299"/>
    </row>
    <row r="85" spans="1:25">
      <c r="A85" s="299"/>
      <c r="B85" s="299"/>
      <c r="C85" s="299"/>
      <c r="D85" s="299"/>
      <c r="E85" s="299"/>
      <c r="F85" s="299"/>
      <c r="G85" s="299"/>
      <c r="H85" s="299"/>
      <c r="I85" s="299"/>
      <c r="J85" s="299"/>
      <c r="K85" s="299"/>
      <c r="L85" s="299"/>
      <c r="M85" s="299"/>
      <c r="N85" s="299"/>
      <c r="O85" s="299"/>
      <c r="P85" s="299"/>
      <c r="Q85" s="299"/>
      <c r="R85" s="299"/>
      <c r="S85" s="299"/>
      <c r="T85" s="299"/>
      <c r="U85" s="299"/>
      <c r="V85" s="299"/>
      <c r="W85" s="299"/>
      <c r="X85" s="299"/>
      <c r="Y85" s="299"/>
    </row>
    <row r="86" spans="1:25">
      <c r="A86" s="299"/>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299"/>
    </row>
    <row r="87" spans="1:25">
      <c r="A87" s="299"/>
      <c r="B87" s="299"/>
      <c r="C87" s="299"/>
      <c r="D87" s="299"/>
      <c r="E87" s="299"/>
      <c r="F87" s="299"/>
      <c r="G87" s="299"/>
      <c r="H87" s="299"/>
      <c r="I87" s="299"/>
      <c r="J87" s="299"/>
      <c r="K87" s="299"/>
      <c r="L87" s="299"/>
      <c r="M87" s="299"/>
      <c r="N87" s="299"/>
      <c r="O87" s="299"/>
      <c r="P87" s="299"/>
      <c r="Q87" s="299"/>
      <c r="R87" s="299"/>
      <c r="S87" s="299"/>
      <c r="T87" s="299"/>
      <c r="U87" s="299"/>
      <c r="V87" s="299"/>
      <c r="W87" s="299"/>
      <c r="X87" s="299"/>
      <c r="Y87" s="299"/>
    </row>
    <row r="88" spans="1:25">
      <c r="A88" s="299"/>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row>
    <row r="89" spans="1:25">
      <c r="A89" s="299"/>
      <c r="B89" s="299"/>
      <c r="C89" s="299"/>
      <c r="D89" s="299"/>
      <c r="E89" s="299"/>
      <c r="F89" s="299"/>
      <c r="G89" s="299"/>
      <c r="H89" s="299"/>
      <c r="I89" s="299"/>
      <c r="J89" s="299"/>
      <c r="K89" s="299"/>
      <c r="L89" s="299"/>
      <c r="M89" s="299"/>
      <c r="N89" s="299"/>
      <c r="O89" s="299"/>
      <c r="P89" s="299"/>
      <c r="Q89" s="299"/>
      <c r="R89" s="299"/>
      <c r="S89" s="299"/>
      <c r="T89" s="299"/>
      <c r="U89" s="299"/>
      <c r="V89" s="299"/>
      <c r="W89" s="299"/>
      <c r="X89" s="299"/>
      <c r="Y89" s="299"/>
    </row>
    <row r="90" spans="1:25">
      <c r="A90" s="299"/>
      <c r="B90" s="299"/>
      <c r="C90" s="299"/>
      <c r="D90" s="299"/>
      <c r="E90" s="299"/>
      <c r="F90" s="299"/>
      <c r="G90" s="299"/>
      <c r="H90" s="299"/>
      <c r="I90" s="299"/>
      <c r="J90" s="299"/>
      <c r="K90" s="299"/>
      <c r="L90" s="299"/>
      <c r="M90" s="299"/>
      <c r="N90" s="299"/>
      <c r="O90" s="299"/>
      <c r="P90" s="299"/>
      <c r="Q90" s="299"/>
      <c r="R90" s="299"/>
      <c r="S90" s="299"/>
      <c r="T90" s="299"/>
      <c r="U90" s="299"/>
      <c r="V90" s="299"/>
      <c r="W90" s="299"/>
      <c r="X90" s="299"/>
      <c r="Y90" s="299"/>
    </row>
    <row r="91" spans="1:25">
      <c r="A91" s="299"/>
      <c r="B91" s="299"/>
      <c r="C91" s="299"/>
      <c r="D91" s="299"/>
      <c r="E91" s="299"/>
      <c r="F91" s="299"/>
      <c r="G91" s="299"/>
      <c r="H91" s="299"/>
      <c r="I91" s="299"/>
      <c r="J91" s="299"/>
      <c r="K91" s="299"/>
      <c r="L91" s="299"/>
      <c r="M91" s="299"/>
      <c r="N91" s="299"/>
      <c r="O91" s="299"/>
      <c r="P91" s="299"/>
      <c r="Q91" s="299"/>
      <c r="R91" s="299"/>
      <c r="S91" s="299"/>
      <c r="T91" s="299"/>
      <c r="U91" s="299"/>
      <c r="V91" s="299"/>
      <c r="W91" s="299"/>
      <c r="X91" s="299"/>
      <c r="Y91" s="299"/>
    </row>
    <row r="92" spans="1:25">
      <c r="A92" s="299"/>
      <c r="B92" s="299"/>
      <c r="C92" s="299"/>
      <c r="D92" s="299"/>
      <c r="E92" s="299"/>
      <c r="F92" s="299"/>
      <c r="G92" s="299"/>
      <c r="H92" s="299"/>
      <c r="I92" s="299"/>
      <c r="J92" s="299"/>
      <c r="K92" s="299"/>
      <c r="L92" s="299"/>
      <c r="M92" s="299"/>
      <c r="N92" s="299"/>
      <c r="O92" s="299"/>
      <c r="P92" s="299"/>
      <c r="Q92" s="299"/>
      <c r="R92" s="299"/>
      <c r="S92" s="299"/>
      <c r="T92" s="299"/>
      <c r="U92" s="299"/>
      <c r="V92" s="299"/>
      <c r="W92" s="299"/>
      <c r="X92" s="299"/>
      <c r="Y92" s="299"/>
    </row>
    <row r="93" spans="1:25">
      <c r="A93" s="299"/>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row>
    <row r="94" spans="1:25">
      <c r="A94" s="299"/>
      <c r="B94" s="299"/>
      <c r="C94" s="299"/>
      <c r="D94" s="299"/>
      <c r="E94" s="299"/>
      <c r="F94" s="299"/>
      <c r="G94" s="299"/>
      <c r="H94" s="299"/>
      <c r="I94" s="299"/>
      <c r="J94" s="299"/>
      <c r="K94" s="299"/>
      <c r="L94" s="299"/>
      <c r="M94" s="299"/>
      <c r="N94" s="299"/>
      <c r="O94" s="299"/>
      <c r="P94" s="299"/>
      <c r="Q94" s="299"/>
      <c r="R94" s="299"/>
      <c r="S94" s="299"/>
      <c r="T94" s="299"/>
      <c r="U94" s="299"/>
      <c r="V94" s="299"/>
      <c r="W94" s="299"/>
      <c r="X94" s="299"/>
      <c r="Y94" s="299"/>
    </row>
    <row r="95" spans="1:25">
      <c r="A95" s="299"/>
      <c r="B95" s="299"/>
      <c r="C95" s="299"/>
      <c r="D95" s="299"/>
      <c r="E95" s="299"/>
      <c r="F95" s="299"/>
      <c r="G95" s="299"/>
      <c r="H95" s="299"/>
      <c r="I95" s="299"/>
      <c r="J95" s="299"/>
      <c r="K95" s="299"/>
      <c r="L95" s="299"/>
      <c r="M95" s="299"/>
      <c r="N95" s="299"/>
      <c r="O95" s="299"/>
      <c r="P95" s="299"/>
      <c r="Q95" s="299"/>
      <c r="R95" s="299"/>
      <c r="S95" s="299"/>
      <c r="T95" s="299"/>
      <c r="U95" s="299"/>
      <c r="V95" s="299"/>
      <c r="W95" s="299"/>
      <c r="X95" s="299"/>
      <c r="Y95" s="299"/>
    </row>
    <row r="96" spans="1:25">
      <c r="A96" s="299"/>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row>
    <row r="97" spans="1:25">
      <c r="A97" s="299"/>
      <c r="B97" s="299"/>
      <c r="C97" s="299"/>
      <c r="D97" s="299"/>
      <c r="E97" s="299"/>
      <c r="F97" s="299"/>
      <c r="G97" s="299"/>
      <c r="H97" s="299"/>
      <c r="I97" s="299"/>
      <c r="J97" s="299"/>
      <c r="K97" s="299"/>
      <c r="L97" s="299"/>
      <c r="M97" s="299"/>
      <c r="N97" s="299"/>
      <c r="O97" s="299"/>
      <c r="P97" s="299"/>
      <c r="Q97" s="299"/>
      <c r="R97" s="299"/>
      <c r="S97" s="299"/>
      <c r="T97" s="299"/>
      <c r="U97" s="299"/>
      <c r="V97" s="299"/>
      <c r="W97" s="299"/>
      <c r="X97" s="299"/>
      <c r="Y97" s="299"/>
    </row>
    <row r="98" spans="1:25">
      <c r="A98" s="299"/>
      <c r="B98" s="299"/>
      <c r="C98" s="299"/>
      <c r="D98" s="299"/>
      <c r="E98" s="299"/>
      <c r="F98" s="299"/>
      <c r="G98" s="299"/>
      <c r="H98" s="299"/>
      <c r="I98" s="299"/>
      <c r="J98" s="299"/>
      <c r="K98" s="299"/>
      <c r="L98" s="299"/>
      <c r="M98" s="299"/>
      <c r="N98" s="299"/>
      <c r="O98" s="299"/>
      <c r="P98" s="299"/>
      <c r="Q98" s="299"/>
      <c r="R98" s="299"/>
      <c r="S98" s="299"/>
      <c r="T98" s="299"/>
      <c r="U98" s="299"/>
      <c r="V98" s="299"/>
      <c r="W98" s="299"/>
      <c r="X98" s="299"/>
      <c r="Y98" s="299"/>
    </row>
    <row r="99" spans="1:25">
      <c r="A99" s="299"/>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299"/>
    </row>
    <row r="100" spans="1:25">
      <c r="A100" s="299"/>
      <c r="B100" s="299"/>
      <c r="C100" s="299"/>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299"/>
    </row>
    <row r="101" spans="1:25">
      <c r="A101" s="299"/>
      <c r="B101" s="299"/>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299"/>
    </row>
    <row r="102" spans="1:25">
      <c r="A102" s="299"/>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row>
    <row r="103" spans="1:25">
      <c r="A103" s="299"/>
      <c r="B103" s="299"/>
      <c r="C103" s="299"/>
      <c r="D103" s="299"/>
      <c r="E103" s="299"/>
      <c r="F103" s="299"/>
      <c r="G103" s="299"/>
      <c r="H103" s="299"/>
      <c r="I103" s="299"/>
      <c r="J103" s="299"/>
      <c r="K103" s="299"/>
      <c r="L103" s="299"/>
      <c r="M103" s="299"/>
      <c r="N103" s="299"/>
      <c r="O103" s="299"/>
      <c r="P103" s="299"/>
      <c r="Q103" s="299"/>
      <c r="R103" s="299"/>
      <c r="S103" s="299"/>
      <c r="T103" s="299"/>
      <c r="U103" s="299"/>
      <c r="V103" s="299"/>
      <c r="W103" s="299"/>
      <c r="X103" s="299"/>
      <c r="Y103" s="299"/>
    </row>
    <row r="104" spans="1:25">
      <c r="A104" s="299"/>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299"/>
    </row>
    <row r="105" spans="1:25">
      <c r="A105" s="299"/>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row>
    <row r="106" spans="1:25">
      <c r="A106" s="299"/>
      <c r="B106" s="299"/>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299"/>
    </row>
    <row r="107" spans="1:25">
      <c r="A107" s="299"/>
      <c r="B107" s="299"/>
      <c r="C107" s="299"/>
      <c r="D107" s="299"/>
      <c r="E107" s="299"/>
      <c r="F107" s="299"/>
      <c r="G107" s="299"/>
      <c r="H107" s="299"/>
      <c r="I107" s="299"/>
      <c r="J107" s="299"/>
      <c r="K107" s="299"/>
      <c r="L107" s="299"/>
      <c r="M107" s="299"/>
      <c r="N107" s="299"/>
      <c r="O107" s="299"/>
      <c r="P107" s="299"/>
      <c r="Q107" s="299"/>
      <c r="R107" s="299"/>
      <c r="S107" s="299"/>
      <c r="T107" s="299"/>
      <c r="U107" s="299"/>
      <c r="V107" s="299"/>
      <c r="W107" s="299"/>
      <c r="X107" s="299"/>
      <c r="Y107" s="299"/>
    </row>
    <row r="108" spans="1:25">
      <c r="A108" s="299"/>
      <c r="B108" s="299"/>
      <c r="C108" s="299"/>
      <c r="D108" s="299"/>
      <c r="E108" s="299"/>
      <c r="F108" s="299"/>
      <c r="G108" s="299"/>
      <c r="H108" s="299"/>
      <c r="I108" s="299"/>
      <c r="J108" s="299"/>
      <c r="K108" s="299"/>
      <c r="L108" s="299"/>
      <c r="M108" s="299"/>
      <c r="N108" s="299"/>
      <c r="O108" s="299"/>
      <c r="P108" s="299"/>
      <c r="Q108" s="299"/>
      <c r="R108" s="299"/>
      <c r="S108" s="299"/>
      <c r="T108" s="299"/>
      <c r="U108" s="299"/>
      <c r="V108" s="299"/>
      <c r="W108" s="299"/>
      <c r="X108" s="299"/>
      <c r="Y108" s="299"/>
    </row>
    <row r="109" spans="1:25">
      <c r="A109" s="299"/>
      <c r="B109" s="299"/>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299"/>
    </row>
    <row r="110" spans="1:25">
      <c r="A110" s="299"/>
      <c r="B110" s="299"/>
      <c r="C110" s="299"/>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299"/>
    </row>
    <row r="111" spans="1:25">
      <c r="A111" s="299"/>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row>
    <row r="112" spans="1:25">
      <c r="A112" s="299"/>
      <c r="B112" s="299"/>
      <c r="C112" s="299"/>
      <c r="D112" s="299"/>
      <c r="E112" s="299"/>
      <c r="F112" s="299"/>
      <c r="G112" s="299"/>
      <c r="H112" s="299"/>
      <c r="I112" s="299"/>
      <c r="J112" s="299"/>
      <c r="K112" s="299"/>
      <c r="L112" s="299"/>
      <c r="M112" s="299"/>
      <c r="N112" s="299"/>
      <c r="O112" s="299"/>
      <c r="P112" s="299"/>
      <c r="Q112" s="299"/>
      <c r="R112" s="299"/>
      <c r="S112" s="299"/>
      <c r="T112" s="299"/>
      <c r="U112" s="299"/>
      <c r="V112" s="299"/>
      <c r="W112" s="299"/>
      <c r="X112" s="299"/>
      <c r="Y112" s="299"/>
    </row>
    <row r="113" spans="1:25">
      <c r="A113" s="299"/>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row>
    <row r="114" spans="1:25">
      <c r="A114" s="299"/>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row>
    <row r="115" spans="1:25">
      <c r="A115" s="299"/>
      <c r="B115" s="299"/>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row>
    <row r="116" spans="1:25">
      <c r="A116" s="299"/>
      <c r="B116" s="299"/>
      <c r="C116" s="299"/>
      <c r="D116" s="299"/>
      <c r="E116" s="299"/>
      <c r="F116" s="299"/>
      <c r="G116" s="299"/>
      <c r="H116" s="299"/>
      <c r="I116" s="299"/>
      <c r="J116" s="299"/>
      <c r="K116" s="299"/>
      <c r="L116" s="299"/>
      <c r="M116" s="299"/>
      <c r="N116" s="299"/>
      <c r="O116" s="299"/>
      <c r="P116" s="299"/>
      <c r="Q116" s="299"/>
      <c r="R116" s="299"/>
      <c r="S116" s="299"/>
      <c r="T116" s="299"/>
      <c r="U116" s="299"/>
      <c r="V116" s="299"/>
      <c r="W116" s="299"/>
      <c r="X116" s="299"/>
      <c r="Y116" s="299"/>
    </row>
    <row r="117" spans="1:25">
      <c r="A117" s="299"/>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row>
    <row r="118" spans="1:25">
      <c r="A118" s="299"/>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299"/>
    </row>
    <row r="119" spans="1:25">
      <c r="A119" s="299"/>
      <c r="B119" s="299"/>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299"/>
    </row>
    <row r="120" spans="1:25">
      <c r="A120" s="299"/>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row>
    <row r="121" spans="1:25">
      <c r="A121" s="299"/>
      <c r="B121" s="299"/>
      <c r="C121" s="299"/>
      <c r="D121" s="299"/>
      <c r="E121" s="299"/>
      <c r="F121" s="299"/>
      <c r="G121" s="299"/>
      <c r="H121" s="299"/>
      <c r="I121" s="299"/>
      <c r="J121" s="299"/>
      <c r="K121" s="299"/>
      <c r="L121" s="299"/>
      <c r="M121" s="299"/>
      <c r="N121" s="299"/>
      <c r="O121" s="299"/>
      <c r="P121" s="299"/>
      <c r="Q121" s="299"/>
      <c r="R121" s="299"/>
      <c r="S121" s="299"/>
      <c r="T121" s="299"/>
      <c r="U121" s="299"/>
      <c r="V121" s="299"/>
      <c r="W121" s="299"/>
      <c r="X121" s="299"/>
      <c r="Y121" s="299"/>
    </row>
    <row r="122" spans="1:25">
      <c r="A122" s="299"/>
      <c r="B122" s="299"/>
      <c r="C122" s="299"/>
      <c r="D122" s="299"/>
      <c r="E122" s="299"/>
      <c r="F122" s="299"/>
      <c r="G122" s="299"/>
      <c r="H122" s="299"/>
      <c r="I122" s="299"/>
      <c r="J122" s="299"/>
      <c r="K122" s="299"/>
      <c r="L122" s="299"/>
      <c r="M122" s="299"/>
      <c r="N122" s="299"/>
      <c r="O122" s="299"/>
      <c r="P122" s="299"/>
      <c r="Q122" s="299"/>
      <c r="R122" s="299"/>
      <c r="S122" s="299"/>
      <c r="T122" s="299"/>
      <c r="U122" s="299"/>
      <c r="V122" s="299"/>
      <c r="W122" s="299"/>
      <c r="X122" s="299"/>
      <c r="Y122" s="299"/>
    </row>
    <row r="123" spans="1:25">
      <c r="A123" s="299"/>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row>
    <row r="124" spans="1:25">
      <c r="A124" s="299"/>
      <c r="B124" s="299"/>
      <c r="C124" s="299"/>
      <c r="D124" s="299"/>
      <c r="E124" s="299"/>
      <c r="F124" s="299"/>
      <c r="G124" s="299"/>
      <c r="H124" s="299"/>
      <c r="I124" s="299"/>
      <c r="J124" s="299"/>
      <c r="K124" s="299"/>
      <c r="L124" s="299"/>
      <c r="M124" s="299"/>
      <c r="N124" s="299"/>
      <c r="O124" s="299"/>
      <c r="P124" s="299"/>
      <c r="Q124" s="299"/>
      <c r="R124" s="299"/>
      <c r="S124" s="299"/>
      <c r="T124" s="299"/>
      <c r="U124" s="299"/>
      <c r="V124" s="299"/>
      <c r="W124" s="299"/>
      <c r="X124" s="299"/>
      <c r="Y124" s="299"/>
    </row>
    <row r="125" spans="1:25">
      <c r="A125" s="299"/>
      <c r="B125" s="299"/>
      <c r="C125" s="299"/>
      <c r="D125" s="299"/>
      <c r="E125" s="299"/>
      <c r="F125" s="299"/>
      <c r="G125" s="299"/>
      <c r="H125" s="299"/>
      <c r="I125" s="299"/>
      <c r="J125" s="299"/>
      <c r="K125" s="299"/>
      <c r="L125" s="299"/>
      <c r="M125" s="299"/>
      <c r="N125" s="299"/>
      <c r="O125" s="299"/>
      <c r="P125" s="299"/>
      <c r="Q125" s="299"/>
      <c r="R125" s="299"/>
      <c r="S125" s="299"/>
      <c r="T125" s="299"/>
      <c r="U125" s="299"/>
      <c r="V125" s="299"/>
      <c r="W125" s="299"/>
      <c r="X125" s="299"/>
      <c r="Y125" s="299"/>
    </row>
    <row r="126" spans="1:25">
      <c r="A126" s="299"/>
      <c r="B126" s="299"/>
      <c r="C126" s="299"/>
      <c r="D126" s="299"/>
      <c r="E126" s="299"/>
      <c r="F126" s="299"/>
      <c r="G126" s="299"/>
      <c r="H126" s="299"/>
      <c r="I126" s="299"/>
      <c r="J126" s="299"/>
      <c r="K126" s="299"/>
      <c r="L126" s="299"/>
      <c r="M126" s="299"/>
      <c r="N126" s="299"/>
      <c r="O126" s="299"/>
      <c r="P126" s="299"/>
      <c r="Q126" s="299"/>
      <c r="R126" s="299"/>
      <c r="S126" s="299"/>
      <c r="T126" s="299"/>
      <c r="U126" s="299"/>
      <c r="V126" s="299"/>
      <c r="W126" s="299"/>
      <c r="X126" s="299"/>
      <c r="Y126" s="299"/>
    </row>
    <row r="127" spans="1:25">
      <c r="A127" s="299"/>
      <c r="B127" s="299"/>
      <c r="C127" s="299"/>
      <c r="D127" s="299"/>
      <c r="E127" s="299"/>
      <c r="F127" s="299"/>
      <c r="G127" s="299"/>
      <c r="H127" s="299"/>
      <c r="I127" s="299"/>
      <c r="J127" s="299"/>
      <c r="K127" s="299"/>
      <c r="L127" s="299"/>
      <c r="M127" s="299"/>
      <c r="N127" s="299"/>
      <c r="O127" s="299"/>
      <c r="P127" s="299"/>
      <c r="Q127" s="299"/>
      <c r="R127" s="299"/>
      <c r="S127" s="299"/>
      <c r="T127" s="299"/>
      <c r="U127" s="299"/>
      <c r="V127" s="299"/>
      <c r="W127" s="299"/>
      <c r="X127" s="299"/>
      <c r="Y127" s="299"/>
    </row>
    <row r="128" spans="1:25">
      <c r="A128" s="299"/>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99"/>
      <c r="X128" s="299"/>
      <c r="Y128" s="299"/>
    </row>
    <row r="129" spans="1:25">
      <c r="A129" s="299"/>
      <c r="B129" s="299"/>
      <c r="C129" s="299"/>
      <c r="D129" s="299"/>
      <c r="E129" s="299"/>
      <c r="F129" s="299"/>
      <c r="G129" s="299"/>
      <c r="H129" s="299"/>
      <c r="I129" s="299"/>
      <c r="J129" s="299"/>
      <c r="K129" s="299"/>
      <c r="L129" s="299"/>
      <c r="M129" s="299"/>
      <c r="N129" s="299"/>
      <c r="O129" s="299"/>
      <c r="P129" s="299"/>
      <c r="Q129" s="299"/>
      <c r="R129" s="299"/>
      <c r="S129" s="299"/>
      <c r="T129" s="299"/>
      <c r="U129" s="299"/>
      <c r="V129" s="299"/>
      <c r="W129" s="299"/>
      <c r="X129" s="299"/>
      <c r="Y129" s="299"/>
    </row>
    <row r="130" spans="1:25">
      <c r="A130" s="299"/>
      <c r="B130" s="299"/>
      <c r="C130" s="299"/>
      <c r="D130" s="299"/>
      <c r="E130" s="299"/>
      <c r="F130" s="299"/>
      <c r="G130" s="299"/>
      <c r="H130" s="299"/>
      <c r="I130" s="299"/>
      <c r="J130" s="299"/>
      <c r="K130" s="299"/>
      <c r="L130" s="299"/>
      <c r="M130" s="299"/>
      <c r="N130" s="299"/>
      <c r="O130" s="299"/>
      <c r="P130" s="299"/>
      <c r="Q130" s="299"/>
      <c r="R130" s="299"/>
      <c r="S130" s="299"/>
      <c r="T130" s="299"/>
      <c r="U130" s="299"/>
      <c r="V130" s="299"/>
      <c r="W130" s="299"/>
      <c r="X130" s="299"/>
      <c r="Y130" s="299"/>
    </row>
    <row r="131" spans="1:25">
      <c r="A131" s="299"/>
      <c r="B131" s="299"/>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299"/>
    </row>
    <row r="132" spans="1:25">
      <c r="A132" s="299"/>
      <c r="B132" s="299"/>
      <c r="C132" s="299"/>
      <c r="D132" s="299"/>
      <c r="E132" s="299"/>
      <c r="F132" s="299"/>
      <c r="G132" s="299"/>
      <c r="H132" s="299"/>
      <c r="I132" s="299"/>
      <c r="J132" s="299"/>
      <c r="K132" s="299"/>
      <c r="L132" s="299"/>
      <c r="M132" s="299"/>
      <c r="N132" s="299"/>
      <c r="O132" s="299"/>
      <c r="P132" s="299"/>
      <c r="Q132" s="299"/>
      <c r="R132" s="299"/>
      <c r="S132" s="299"/>
      <c r="T132" s="299"/>
      <c r="U132" s="299"/>
      <c r="V132" s="299"/>
      <c r="W132" s="299"/>
      <c r="X132" s="299"/>
      <c r="Y132" s="299"/>
    </row>
    <row r="133" spans="1:25">
      <c r="A133" s="299"/>
      <c r="B133" s="299"/>
      <c r="C133" s="299"/>
      <c r="D133" s="299"/>
      <c r="E133" s="299"/>
      <c r="F133" s="299"/>
      <c r="G133" s="299"/>
      <c r="H133" s="299"/>
      <c r="I133" s="299"/>
      <c r="J133" s="299"/>
      <c r="K133" s="299"/>
      <c r="L133" s="299"/>
      <c r="M133" s="299"/>
      <c r="N133" s="299"/>
      <c r="O133" s="299"/>
      <c r="P133" s="299"/>
      <c r="Q133" s="299"/>
      <c r="R133" s="299"/>
      <c r="S133" s="299"/>
      <c r="T133" s="299"/>
      <c r="U133" s="299"/>
      <c r="V133" s="299"/>
      <c r="W133" s="299"/>
      <c r="X133" s="299"/>
      <c r="Y133" s="299"/>
    </row>
    <row r="134" spans="1:25">
      <c r="A134" s="299"/>
      <c r="B134" s="299"/>
      <c r="C134" s="299"/>
      <c r="D134" s="299"/>
      <c r="E134" s="299"/>
      <c r="F134" s="299"/>
      <c r="G134" s="299"/>
      <c r="H134" s="299"/>
      <c r="I134" s="299"/>
      <c r="J134" s="299"/>
      <c r="K134" s="299"/>
      <c r="L134" s="299"/>
      <c r="M134" s="299"/>
      <c r="N134" s="299"/>
      <c r="O134" s="299"/>
      <c r="P134" s="299"/>
      <c r="Q134" s="299"/>
      <c r="R134" s="299"/>
      <c r="S134" s="299"/>
      <c r="T134" s="299"/>
      <c r="U134" s="299"/>
      <c r="V134" s="299"/>
      <c r="W134" s="299"/>
      <c r="X134" s="299"/>
      <c r="Y134" s="299"/>
    </row>
    <row r="135" spans="1:25">
      <c r="A135" s="299"/>
      <c r="B135" s="299"/>
      <c r="C135" s="299"/>
      <c r="D135" s="299"/>
      <c r="E135" s="299"/>
      <c r="F135" s="299"/>
      <c r="G135" s="299"/>
      <c r="H135" s="299"/>
      <c r="I135" s="299"/>
      <c r="J135" s="299"/>
      <c r="K135" s="299"/>
      <c r="L135" s="299"/>
      <c r="M135" s="299"/>
      <c r="N135" s="299"/>
      <c r="O135" s="299"/>
      <c r="P135" s="299"/>
      <c r="Q135" s="299"/>
      <c r="R135" s="299"/>
      <c r="S135" s="299"/>
      <c r="T135" s="299"/>
      <c r="U135" s="299"/>
      <c r="V135" s="299"/>
      <c r="W135" s="299"/>
      <c r="X135" s="299"/>
      <c r="Y135" s="299"/>
    </row>
    <row r="136" spans="1:25">
      <c r="A136" s="299"/>
      <c r="B136" s="299"/>
      <c r="C136" s="299"/>
      <c r="D136" s="299"/>
      <c r="E136" s="299"/>
      <c r="F136" s="299"/>
      <c r="G136" s="299"/>
      <c r="H136" s="299"/>
      <c r="I136" s="299"/>
      <c r="J136" s="299"/>
      <c r="K136" s="299"/>
      <c r="L136" s="299"/>
      <c r="M136" s="299"/>
      <c r="N136" s="299"/>
      <c r="O136" s="299"/>
      <c r="P136" s="299"/>
      <c r="Q136" s="299"/>
      <c r="R136" s="299"/>
      <c r="S136" s="299"/>
      <c r="T136" s="299"/>
      <c r="U136" s="299"/>
      <c r="V136" s="299"/>
      <c r="W136" s="299"/>
      <c r="X136" s="299"/>
      <c r="Y136" s="299"/>
    </row>
    <row r="137" spans="1:25">
      <c r="A137" s="299"/>
      <c r="B137" s="299"/>
      <c r="C137" s="299"/>
      <c r="D137" s="299"/>
      <c r="E137" s="299"/>
      <c r="F137" s="299"/>
      <c r="G137" s="299"/>
      <c r="H137" s="299"/>
      <c r="I137" s="299"/>
      <c r="J137" s="299"/>
      <c r="K137" s="299"/>
      <c r="L137" s="299"/>
      <c r="M137" s="299"/>
      <c r="N137" s="299"/>
      <c r="O137" s="299"/>
      <c r="P137" s="299"/>
      <c r="Q137" s="299"/>
      <c r="R137" s="299"/>
      <c r="S137" s="299"/>
      <c r="T137" s="299"/>
      <c r="U137" s="299"/>
      <c r="V137" s="299"/>
      <c r="W137" s="299"/>
      <c r="X137" s="299"/>
      <c r="Y137" s="299"/>
    </row>
    <row r="138" spans="1:25">
      <c r="A138" s="299"/>
      <c r="B138" s="299"/>
      <c r="C138" s="299"/>
      <c r="D138" s="299"/>
      <c r="E138" s="299"/>
      <c r="F138" s="299"/>
      <c r="G138" s="299"/>
      <c r="H138" s="299"/>
      <c r="I138" s="299"/>
      <c r="J138" s="299"/>
      <c r="K138" s="299"/>
      <c r="L138" s="299"/>
      <c r="M138" s="299"/>
      <c r="N138" s="299"/>
      <c r="O138" s="299"/>
      <c r="P138" s="299"/>
      <c r="Q138" s="299"/>
      <c r="R138" s="299"/>
      <c r="S138" s="299"/>
      <c r="T138" s="299"/>
      <c r="U138" s="299"/>
      <c r="V138" s="299"/>
      <c r="W138" s="299"/>
      <c r="X138" s="299"/>
      <c r="Y138" s="299"/>
    </row>
    <row r="139" spans="1:25">
      <c r="A139" s="299"/>
      <c r="B139" s="299"/>
      <c r="C139" s="299"/>
      <c r="D139" s="299"/>
      <c r="E139" s="299"/>
      <c r="F139" s="299"/>
      <c r="G139" s="299"/>
      <c r="H139" s="299"/>
      <c r="I139" s="299"/>
      <c r="J139" s="299"/>
      <c r="K139" s="299"/>
      <c r="L139" s="299"/>
      <c r="M139" s="299"/>
      <c r="N139" s="299"/>
      <c r="O139" s="299"/>
      <c r="P139" s="299"/>
      <c r="Q139" s="299"/>
      <c r="R139" s="299"/>
      <c r="S139" s="299"/>
      <c r="T139" s="299"/>
      <c r="U139" s="299"/>
      <c r="V139" s="299"/>
      <c r="W139" s="299"/>
      <c r="X139" s="299"/>
      <c r="Y139" s="299"/>
    </row>
    <row r="140" spans="1:25">
      <c r="A140" s="299"/>
      <c r="B140" s="299"/>
      <c r="C140" s="299"/>
      <c r="D140" s="299"/>
      <c r="E140" s="299"/>
      <c r="F140" s="299"/>
      <c r="G140" s="299"/>
      <c r="H140" s="299"/>
      <c r="I140" s="299"/>
      <c r="J140" s="299"/>
      <c r="K140" s="299"/>
      <c r="L140" s="299"/>
      <c r="M140" s="299"/>
      <c r="N140" s="299"/>
      <c r="O140" s="299"/>
      <c r="P140" s="299"/>
      <c r="Q140" s="299"/>
      <c r="R140" s="299"/>
      <c r="S140" s="299"/>
      <c r="T140" s="299"/>
      <c r="U140" s="299"/>
      <c r="V140" s="299"/>
      <c r="W140" s="299"/>
      <c r="X140" s="299"/>
      <c r="Y140" s="299"/>
    </row>
    <row r="141" spans="1:25">
      <c r="A141" s="299"/>
      <c r="B141" s="299"/>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299"/>
    </row>
    <row r="142" spans="1:25">
      <c r="A142" s="299"/>
      <c r="B142" s="299"/>
      <c r="C142" s="299"/>
      <c r="D142" s="299"/>
      <c r="E142" s="299"/>
      <c r="F142" s="299"/>
      <c r="G142" s="299"/>
      <c r="H142" s="299"/>
      <c r="I142" s="299"/>
      <c r="J142" s="299"/>
      <c r="K142" s="299"/>
      <c r="L142" s="299"/>
      <c r="M142" s="299"/>
      <c r="N142" s="299"/>
      <c r="O142" s="299"/>
      <c r="P142" s="299"/>
      <c r="Q142" s="299"/>
      <c r="R142" s="299"/>
      <c r="S142" s="299"/>
      <c r="T142" s="299"/>
      <c r="U142" s="299"/>
      <c r="V142" s="299"/>
      <c r="W142" s="299"/>
      <c r="X142" s="299"/>
      <c r="Y142" s="299"/>
    </row>
    <row r="143" spans="1:25">
      <c r="A143" s="299"/>
      <c r="B143" s="299"/>
      <c r="C143" s="299"/>
      <c r="D143" s="299"/>
      <c r="E143" s="299"/>
      <c r="F143" s="299"/>
      <c r="G143" s="299"/>
      <c r="H143" s="299"/>
      <c r="I143" s="299"/>
      <c r="J143" s="299"/>
      <c r="K143" s="299"/>
      <c r="L143" s="299"/>
      <c r="M143" s="299"/>
      <c r="N143" s="299"/>
      <c r="O143" s="299"/>
      <c r="P143" s="299"/>
      <c r="Q143" s="299"/>
      <c r="R143" s="299"/>
      <c r="S143" s="299"/>
      <c r="T143" s="299"/>
      <c r="U143" s="299"/>
      <c r="V143" s="299"/>
      <c r="W143" s="299"/>
      <c r="X143" s="299"/>
      <c r="Y143" s="299"/>
    </row>
    <row r="144" spans="1:25">
      <c r="A144" s="299"/>
      <c r="B144" s="299"/>
      <c r="C144" s="299"/>
      <c r="D144" s="299"/>
      <c r="E144" s="299"/>
      <c r="F144" s="299"/>
      <c r="G144" s="299"/>
      <c r="H144" s="299"/>
      <c r="I144" s="299"/>
      <c r="J144" s="299"/>
      <c r="K144" s="299"/>
      <c r="L144" s="299"/>
      <c r="M144" s="299"/>
      <c r="N144" s="299"/>
      <c r="O144" s="299"/>
      <c r="P144" s="299"/>
      <c r="Q144" s="299"/>
      <c r="R144" s="299"/>
      <c r="S144" s="299"/>
      <c r="T144" s="299"/>
      <c r="U144" s="299"/>
      <c r="V144" s="299"/>
      <c r="W144" s="299"/>
      <c r="X144" s="299"/>
      <c r="Y144" s="299"/>
    </row>
    <row r="145" spans="1:25">
      <c r="A145" s="299"/>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299"/>
    </row>
    <row r="146" spans="1:25">
      <c r="A146" s="299"/>
      <c r="B146" s="299"/>
      <c r="C146" s="299"/>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299"/>
    </row>
    <row r="147" spans="1:25">
      <c r="A147" s="299"/>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row>
    <row r="148" spans="1:25">
      <c r="A148" s="299"/>
      <c r="B148" s="299"/>
      <c r="C148" s="299"/>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row>
    <row r="149" spans="1:25">
      <c r="A149" s="299"/>
      <c r="B149" s="299"/>
      <c r="C149" s="299"/>
      <c r="D149" s="299"/>
      <c r="E149" s="299"/>
      <c r="F149" s="299"/>
      <c r="G149" s="299"/>
      <c r="H149" s="299"/>
      <c r="I149" s="299"/>
      <c r="J149" s="299"/>
      <c r="K149" s="299"/>
      <c r="L149" s="299"/>
      <c r="M149" s="299"/>
      <c r="N149" s="299"/>
      <c r="O149" s="299"/>
      <c r="P149" s="299"/>
      <c r="Q149" s="299"/>
      <c r="R149" s="299"/>
      <c r="S149" s="299"/>
      <c r="T149" s="299"/>
      <c r="U149" s="299"/>
      <c r="V149" s="299"/>
      <c r="W149" s="299"/>
      <c r="X149" s="299"/>
      <c r="Y149" s="299"/>
    </row>
    <row r="150" spans="1:25">
      <c r="A150" s="299"/>
      <c r="B150" s="299"/>
      <c r="C150" s="299"/>
      <c r="D150" s="299"/>
      <c r="E150" s="299"/>
      <c r="F150" s="299"/>
      <c r="G150" s="299"/>
      <c r="H150" s="299"/>
      <c r="I150" s="299"/>
      <c r="J150" s="299"/>
      <c r="K150" s="299"/>
      <c r="L150" s="299"/>
      <c r="M150" s="299"/>
      <c r="N150" s="299"/>
      <c r="O150" s="299"/>
      <c r="P150" s="299"/>
      <c r="Q150" s="299"/>
      <c r="R150" s="299"/>
      <c r="S150" s="299"/>
      <c r="T150" s="299"/>
      <c r="U150" s="299"/>
      <c r="V150" s="299"/>
      <c r="W150" s="299"/>
      <c r="X150" s="299"/>
      <c r="Y150" s="299"/>
    </row>
    <row r="151" spans="1:25">
      <c r="A151" s="299"/>
      <c r="B151" s="299"/>
      <c r="C151" s="299"/>
      <c r="D151" s="299"/>
      <c r="E151" s="299"/>
      <c r="F151" s="299"/>
      <c r="G151" s="299"/>
      <c r="H151" s="299"/>
      <c r="I151" s="299"/>
      <c r="J151" s="299"/>
      <c r="K151" s="299"/>
      <c r="L151" s="299"/>
      <c r="M151" s="299"/>
      <c r="N151" s="299"/>
      <c r="O151" s="299"/>
      <c r="P151" s="299"/>
      <c r="Q151" s="299"/>
      <c r="R151" s="299"/>
      <c r="S151" s="299"/>
      <c r="T151" s="299"/>
      <c r="U151" s="299"/>
      <c r="V151" s="299"/>
      <c r="W151" s="299"/>
      <c r="X151" s="299"/>
      <c r="Y151" s="299"/>
    </row>
    <row r="152" spans="1:25">
      <c r="A152" s="299"/>
      <c r="B152" s="299"/>
      <c r="C152" s="299"/>
      <c r="D152" s="299"/>
      <c r="E152" s="299"/>
      <c r="F152" s="299"/>
      <c r="G152" s="299"/>
      <c r="H152" s="299"/>
      <c r="I152" s="299"/>
      <c r="J152" s="299"/>
      <c r="K152" s="299"/>
      <c r="L152" s="299"/>
      <c r="M152" s="299"/>
      <c r="N152" s="299"/>
      <c r="O152" s="299"/>
      <c r="P152" s="299"/>
      <c r="Q152" s="299"/>
      <c r="R152" s="299"/>
      <c r="S152" s="299"/>
      <c r="T152" s="299"/>
      <c r="U152" s="299"/>
      <c r="V152" s="299"/>
      <c r="W152" s="299"/>
      <c r="X152" s="299"/>
      <c r="Y152" s="299"/>
    </row>
    <row r="153" spans="1:25">
      <c r="A153" s="299"/>
      <c r="B153" s="299"/>
      <c r="C153" s="299"/>
      <c r="D153" s="299"/>
      <c r="E153" s="299"/>
      <c r="F153" s="299"/>
      <c r="G153" s="299"/>
      <c r="H153" s="299"/>
      <c r="I153" s="299"/>
      <c r="J153" s="299"/>
      <c r="K153" s="299"/>
      <c r="L153" s="299"/>
      <c r="M153" s="299"/>
      <c r="N153" s="299"/>
      <c r="O153" s="299"/>
      <c r="P153" s="299"/>
      <c r="Q153" s="299"/>
      <c r="R153" s="299"/>
      <c r="S153" s="299"/>
      <c r="T153" s="299"/>
      <c r="U153" s="299"/>
      <c r="V153" s="299"/>
      <c r="W153" s="299"/>
      <c r="X153" s="299"/>
      <c r="Y153" s="299"/>
    </row>
    <row r="154" spans="1:25">
      <c r="A154" s="299"/>
      <c r="B154" s="299"/>
      <c r="C154" s="299"/>
      <c r="D154" s="299"/>
      <c r="E154" s="299"/>
      <c r="F154" s="299"/>
      <c r="G154" s="299"/>
      <c r="H154" s="299"/>
      <c r="I154" s="299"/>
      <c r="J154" s="299"/>
      <c r="K154" s="299"/>
      <c r="L154" s="299"/>
      <c r="M154" s="299"/>
      <c r="N154" s="299"/>
      <c r="O154" s="299"/>
      <c r="P154" s="299"/>
      <c r="Q154" s="299"/>
      <c r="R154" s="299"/>
      <c r="S154" s="299"/>
      <c r="T154" s="299"/>
      <c r="U154" s="299"/>
      <c r="V154" s="299"/>
      <c r="W154" s="299"/>
      <c r="X154" s="299"/>
      <c r="Y154" s="299"/>
    </row>
    <row r="155" spans="1:25">
      <c r="A155" s="299"/>
      <c r="B155" s="299"/>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row>
    <row r="156" spans="1:25">
      <c r="A156" s="299"/>
      <c r="B156" s="299"/>
      <c r="C156" s="299"/>
      <c r="D156" s="299"/>
      <c r="E156" s="299"/>
      <c r="F156" s="299"/>
      <c r="G156" s="299"/>
      <c r="H156" s="299"/>
      <c r="I156" s="299"/>
      <c r="J156" s="299"/>
      <c r="K156" s="299"/>
      <c r="L156" s="299"/>
      <c r="M156" s="299"/>
      <c r="N156" s="299"/>
      <c r="O156" s="299"/>
      <c r="P156" s="299"/>
      <c r="Q156" s="299"/>
      <c r="R156" s="299"/>
      <c r="S156" s="299"/>
      <c r="T156" s="299"/>
      <c r="U156" s="299"/>
      <c r="V156" s="299"/>
      <c r="W156" s="299"/>
      <c r="X156" s="299"/>
      <c r="Y156" s="299"/>
    </row>
    <row r="157" spans="1:25">
      <c r="A157" s="299"/>
      <c r="B157" s="299"/>
      <c r="C157" s="299"/>
      <c r="D157" s="299"/>
      <c r="E157" s="299"/>
      <c r="F157" s="299"/>
      <c r="G157" s="299"/>
      <c r="H157" s="299"/>
      <c r="I157" s="299"/>
      <c r="J157" s="299"/>
      <c r="K157" s="299"/>
      <c r="L157" s="299"/>
      <c r="M157" s="299"/>
      <c r="N157" s="299"/>
      <c r="O157" s="299"/>
      <c r="P157" s="299"/>
      <c r="Q157" s="299"/>
      <c r="R157" s="299"/>
      <c r="S157" s="299"/>
      <c r="T157" s="299"/>
      <c r="U157" s="299"/>
      <c r="V157" s="299"/>
      <c r="W157" s="299"/>
      <c r="X157" s="299"/>
      <c r="Y157" s="299"/>
    </row>
    <row r="158" spans="1:25">
      <c r="A158" s="299"/>
      <c r="B158" s="299"/>
      <c r="C158" s="299"/>
      <c r="D158" s="299"/>
      <c r="E158" s="299"/>
      <c r="F158" s="299"/>
      <c r="G158" s="299"/>
      <c r="H158" s="299"/>
      <c r="I158" s="299"/>
      <c r="J158" s="299"/>
      <c r="K158" s="299"/>
      <c r="L158" s="299"/>
      <c r="M158" s="299"/>
      <c r="N158" s="299"/>
      <c r="O158" s="299"/>
      <c r="P158" s="299"/>
      <c r="Q158" s="299"/>
      <c r="R158" s="299"/>
      <c r="S158" s="299"/>
      <c r="T158" s="299"/>
      <c r="U158" s="299"/>
      <c r="V158" s="299"/>
      <c r="W158" s="299"/>
      <c r="X158" s="299"/>
      <c r="Y158" s="299"/>
    </row>
    <row r="159" spans="1:25">
      <c r="A159" s="299"/>
      <c r="B159" s="299"/>
      <c r="C159" s="299"/>
      <c r="D159" s="299"/>
      <c r="E159" s="299"/>
      <c r="F159" s="299"/>
      <c r="G159" s="299"/>
      <c r="H159" s="299"/>
      <c r="I159" s="299"/>
      <c r="J159" s="299"/>
      <c r="K159" s="299"/>
      <c r="L159" s="299"/>
      <c r="M159" s="299"/>
      <c r="N159" s="299"/>
      <c r="O159" s="299"/>
      <c r="P159" s="299"/>
      <c r="Q159" s="299"/>
      <c r="R159" s="299"/>
      <c r="S159" s="299"/>
      <c r="T159" s="299"/>
      <c r="U159" s="299"/>
      <c r="V159" s="299"/>
      <c r="W159" s="299"/>
      <c r="X159" s="299"/>
      <c r="Y159" s="299"/>
    </row>
    <row r="160" spans="1:25">
      <c r="A160" s="299"/>
      <c r="B160" s="299"/>
      <c r="C160" s="299"/>
      <c r="D160" s="299"/>
      <c r="E160" s="299"/>
      <c r="F160" s="299"/>
      <c r="G160" s="299"/>
      <c r="H160" s="299"/>
      <c r="I160" s="299"/>
      <c r="J160" s="299"/>
      <c r="K160" s="299"/>
      <c r="L160" s="299"/>
      <c r="M160" s="299"/>
      <c r="N160" s="299"/>
      <c r="O160" s="299"/>
      <c r="P160" s="299"/>
      <c r="Q160" s="299"/>
      <c r="R160" s="299"/>
      <c r="S160" s="299"/>
      <c r="T160" s="299"/>
      <c r="U160" s="299"/>
      <c r="V160" s="299"/>
      <c r="W160" s="299"/>
      <c r="X160" s="299"/>
      <c r="Y160" s="299"/>
    </row>
    <row r="161" spans="1:21">
      <c r="A161" s="299"/>
      <c r="B161" s="299"/>
      <c r="C161" s="299"/>
      <c r="D161" s="299"/>
      <c r="E161" s="299"/>
      <c r="F161" s="299"/>
      <c r="G161" s="299"/>
      <c r="H161" s="299"/>
      <c r="I161" s="299"/>
      <c r="J161" s="299"/>
      <c r="K161" s="299"/>
      <c r="L161" s="299"/>
      <c r="M161" s="299"/>
      <c r="N161" s="299"/>
      <c r="O161" s="299"/>
      <c r="P161" s="299"/>
      <c r="Q161" s="299"/>
      <c r="R161" s="299"/>
      <c r="S161" s="299"/>
      <c r="T161" s="299"/>
      <c r="U161" s="299"/>
    </row>
    <row r="162" spans="1:21">
      <c r="A162" s="299"/>
      <c r="B162" s="299"/>
      <c r="C162" s="299"/>
      <c r="D162" s="299"/>
      <c r="E162" s="299"/>
      <c r="F162" s="299"/>
      <c r="G162" s="299"/>
      <c r="H162" s="299"/>
      <c r="I162" s="299"/>
      <c r="J162" s="299"/>
      <c r="K162" s="299"/>
      <c r="L162" s="299"/>
      <c r="M162" s="299"/>
      <c r="N162" s="299"/>
      <c r="O162" s="299"/>
      <c r="P162" s="299"/>
      <c r="Q162" s="299"/>
      <c r="R162" s="299"/>
      <c r="S162" s="299"/>
      <c r="T162" s="299"/>
      <c r="U162" s="299"/>
    </row>
    <row r="163" spans="1:21">
      <c r="A163" s="299"/>
      <c r="B163" s="299"/>
      <c r="C163" s="299"/>
      <c r="D163" s="299"/>
      <c r="E163" s="299"/>
      <c r="F163" s="299"/>
      <c r="G163" s="299"/>
      <c r="H163" s="299"/>
      <c r="I163" s="299"/>
      <c r="J163" s="299"/>
      <c r="K163" s="299"/>
      <c r="L163" s="299"/>
      <c r="M163" s="299"/>
      <c r="N163" s="299"/>
      <c r="O163" s="299"/>
      <c r="P163" s="299"/>
      <c r="Q163" s="299"/>
      <c r="R163" s="299"/>
      <c r="S163" s="299"/>
      <c r="T163" s="299"/>
      <c r="U163" s="299"/>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B1:D25"/>
  <sheetViews>
    <sheetView showGridLines="0" topLeftCell="A3" zoomScale="80" zoomScaleNormal="80" zoomScaleSheetLayoutView="100" workbookViewId="0">
      <selection activeCell="P8" sqref="P8"/>
    </sheetView>
  </sheetViews>
  <sheetFormatPr baseColWidth="10" defaultRowHeight="15.75"/>
  <cols>
    <col min="2" max="2" width="15.5" customWidth="1"/>
    <col min="3" max="3" width="26.375" customWidth="1"/>
    <col min="4" max="4" width="12.375" customWidth="1"/>
  </cols>
  <sheetData>
    <row r="1" spans="2:4" ht="18" customHeight="1"/>
    <row r="2" spans="2:4" ht="52.5" customHeight="1" thickBot="1"/>
    <row r="3" spans="2:4" ht="94.5" customHeight="1" thickTop="1" thickBot="1">
      <c r="B3" s="113" t="s">
        <v>350</v>
      </c>
      <c r="C3" s="191" t="s">
        <v>237</v>
      </c>
      <c r="D3" s="113" t="s">
        <v>0</v>
      </c>
    </row>
    <row r="4" spans="2:4" ht="16.5" thickTop="1">
      <c r="B4" s="192">
        <v>1</v>
      </c>
      <c r="C4" s="189" t="s">
        <v>99</v>
      </c>
      <c r="D4" s="193">
        <f ca="1">AVERAGEIF('Índices y Ranking Barrio Orden'!$B$4:$B$134,CONCATENATE("=",OFFSET($C4,0,0)),'Índices y Ranking Barrio Orden'!U$4:U$134)</f>
        <v>1.1032788832154047E-2</v>
      </c>
    </row>
    <row r="5" spans="2:4">
      <c r="B5" s="192">
        <v>2</v>
      </c>
      <c r="C5" s="190" t="s">
        <v>129</v>
      </c>
      <c r="D5" s="193">
        <f ca="1">AVERAGEIF('Índices y Ranking Barrio Orden'!$B$4:$B$134,CONCATENATE("=",OFFSET($C5,0,0)),'Índices y Ranking Barrio Orden'!U$4:U$134)</f>
        <v>1.020984624270373E-2</v>
      </c>
    </row>
    <row r="6" spans="2:4">
      <c r="B6" s="192">
        <v>3</v>
      </c>
      <c r="C6" s="190" t="s">
        <v>92</v>
      </c>
      <c r="D6" s="193">
        <f ca="1">AVERAGEIF('Índices y Ranking Barrio Orden'!$B$4:$B$134,CONCATENATE("=",OFFSET($C6,0,0)),'Índices y Ranking Barrio Orden'!U$4:U$134)</f>
        <v>1.0118394025718097E-2</v>
      </c>
    </row>
    <row r="7" spans="2:4">
      <c r="B7" s="192">
        <v>4</v>
      </c>
      <c r="C7" s="190" t="s">
        <v>84</v>
      </c>
      <c r="D7" s="193">
        <f ca="1">AVERAGEIF('Índices y Ranking Barrio Orden'!$B$4:$B$134,CONCATENATE("=",OFFSET($C7,0,0)),'Índices y Ranking Barrio Orden'!U$4:U$134)</f>
        <v>9.5894995514198157E-3</v>
      </c>
    </row>
    <row r="8" spans="2:4">
      <c r="B8" s="192">
        <v>5</v>
      </c>
      <c r="C8" s="190" t="s">
        <v>78</v>
      </c>
      <c r="D8" s="193">
        <f ca="1">AVERAGEIF('Índices y Ranking Barrio Orden'!$B$4:$B$134,CONCATENATE("=",OFFSET($C8,0,0)),'Índices y Ranking Barrio Orden'!U$4:U$134)</f>
        <v>8.5784662158396776E-3</v>
      </c>
    </row>
    <row r="9" spans="2:4">
      <c r="B9" s="192">
        <v>6</v>
      </c>
      <c r="C9" s="190" t="s">
        <v>134</v>
      </c>
      <c r="D9" s="193">
        <f ca="1">AVERAGEIF('Índices y Ranking Barrio Orden'!$B$4:$B$134,CONCATENATE("=",OFFSET($C9,0,0)),'Índices y Ranking Barrio Orden'!U$4:U$134)</f>
        <v>8.8178065132062684E-3</v>
      </c>
    </row>
    <row r="10" spans="2:4">
      <c r="B10" s="192">
        <v>7</v>
      </c>
      <c r="C10" s="190" t="s">
        <v>139</v>
      </c>
      <c r="D10" s="193">
        <f ca="1">AVERAGEIF('Índices y Ranking Barrio Orden'!$B$4:$B$134,CONCATENATE("=",OFFSET($C10,0,0)),'Índices y Ranking Barrio Orden'!U$4:U$134)</f>
        <v>8.3284412365494595E-3</v>
      </c>
    </row>
    <row r="11" spans="2:4">
      <c r="B11" s="192">
        <v>8</v>
      </c>
      <c r="C11" s="190" t="s">
        <v>48</v>
      </c>
      <c r="D11" s="193">
        <f ca="1">AVERAGEIF('Índices y Ranking Barrio Orden'!$B$4:$B$134,CONCATENATE("=",OFFSET($C11,0,0)),'Índices y Ranking Barrio Orden'!U$4:U$134)</f>
        <v>8.0022157568182036E-3</v>
      </c>
    </row>
    <row r="12" spans="2:4">
      <c r="B12" s="192">
        <v>9</v>
      </c>
      <c r="C12" s="190" t="s">
        <v>106</v>
      </c>
      <c r="D12" s="193">
        <f ca="1">AVERAGEIF('Índices y Ranking Barrio Orden'!$B$4:$B$134,CONCATENATE("=",OFFSET($C12,0,0)),'Índices y Ranking Barrio Orden'!U$4:U$134)</f>
        <v>7.9216156325343737E-3</v>
      </c>
    </row>
    <row r="13" spans="2:4">
      <c r="B13" s="192">
        <v>10</v>
      </c>
      <c r="C13" s="190" t="s">
        <v>137</v>
      </c>
      <c r="D13" s="193">
        <f ca="1">AVERAGEIF('Índices y Ranking Barrio Orden'!$B$4:$B$134,CONCATENATE("=",OFFSET($C13,0,0)),'Índices y Ranking Barrio Orden'!U$4:U$134)</f>
        <v>8.0996042634959801E-3</v>
      </c>
    </row>
    <row r="14" spans="2:4">
      <c r="B14" s="192">
        <v>11</v>
      </c>
      <c r="C14" s="190" t="s">
        <v>17</v>
      </c>
      <c r="D14" s="193">
        <f ca="1">AVERAGEIF('Índices y Ranking Barrio Orden'!$B$4:$B$134,CONCATENATE("=",OFFSET($C14,0,0)),'Índices y Ranking Barrio Orden'!U$4:U$134)</f>
        <v>7.5622061132947366E-3</v>
      </c>
    </row>
    <row r="15" spans="2:4">
      <c r="B15" s="192">
        <v>12</v>
      </c>
      <c r="C15" s="190" t="s">
        <v>113</v>
      </c>
      <c r="D15" s="193">
        <f ca="1">AVERAGEIF('Índices y Ranking Barrio Orden'!$B$4:$B$134,CONCATENATE("=",OFFSET($C15,0,0)),'Índices y Ranking Barrio Orden'!U$4:U$134)</f>
        <v>7.1895776563258452E-3</v>
      </c>
    </row>
    <row r="16" spans="2:4">
      <c r="B16" s="192">
        <v>13</v>
      </c>
      <c r="C16" s="190" t="s">
        <v>24</v>
      </c>
      <c r="D16" s="193">
        <f ca="1">AVERAGEIF('Índices y Ranking Barrio Orden'!$B$4:$B$134,CONCATENATE("=",OFFSET($C16,0,0)),'Índices y Ranking Barrio Orden'!U$4:U$134)</f>
        <v>6.68840261170431E-3</v>
      </c>
    </row>
    <row r="17" spans="2:4">
      <c r="B17" s="192">
        <v>14</v>
      </c>
      <c r="C17" s="190" t="s">
        <v>122</v>
      </c>
      <c r="D17" s="193">
        <f ca="1">AVERAGEIF('Índices y Ranking Barrio Orden'!$B$4:$B$134,CONCATENATE("=",OFFSET($C17,0,0)),'Índices y Ranking Barrio Orden'!U$4:U$134)</f>
        <v>6.617438579391015E-3</v>
      </c>
    </row>
    <row r="18" spans="2:4">
      <c r="B18" s="192">
        <v>15</v>
      </c>
      <c r="C18" s="190" t="s">
        <v>62</v>
      </c>
      <c r="D18" s="193">
        <f ca="1">AVERAGEIF('Índices y Ranking Barrio Orden'!$B$4:$B$134,CONCATENATE("=",OFFSET($C18,0,0)),'Índices y Ranking Barrio Orden'!U$4:U$134)</f>
        <v>6.3949244793021004E-3</v>
      </c>
    </row>
    <row r="19" spans="2:4">
      <c r="B19" s="192">
        <v>16</v>
      </c>
      <c r="C19" s="190" t="s">
        <v>147</v>
      </c>
      <c r="D19" s="193">
        <f ca="1">AVERAGEIF('Índices y Ranking Barrio Orden'!$B$4:$B$134,CONCATENATE("=",OFFSET($C19,0,0)),'Índices y Ranking Barrio Orden'!U$4:U$134)</f>
        <v>6.5541067275668944E-3</v>
      </c>
    </row>
    <row r="20" spans="2:4">
      <c r="B20" s="192">
        <v>17</v>
      </c>
      <c r="C20" s="190" t="s">
        <v>55</v>
      </c>
      <c r="D20" s="193">
        <f ca="1">AVERAGEIF('Índices y Ranking Barrio Orden'!$B$4:$B$134,CONCATENATE("=",OFFSET($C20,0,0)),'Índices y Ranking Barrio Orden'!U$4:U$134)</f>
        <v>6.0309361354974863E-3</v>
      </c>
    </row>
    <row r="21" spans="2:4">
      <c r="B21" s="192">
        <v>18</v>
      </c>
      <c r="C21" s="190" t="s">
        <v>70</v>
      </c>
      <c r="D21" s="193">
        <f ca="1">AVERAGEIF('Índices y Ranking Barrio Orden'!$B$4:$B$134,CONCATENATE("=",OFFSET($C21,0,0)),'Índices y Ranking Barrio Orden'!U$4:U$134)</f>
        <v>6.0008620913310278E-3</v>
      </c>
    </row>
    <row r="22" spans="2:4">
      <c r="B22" s="192">
        <v>19</v>
      </c>
      <c r="C22" s="190" t="s">
        <v>34</v>
      </c>
      <c r="D22" s="193">
        <f ca="1">AVERAGEIF('Índices y Ranking Barrio Orden'!$B$4:$B$134,CONCATENATE("=",OFFSET($C22,0,0)),'Índices y Ranking Barrio Orden'!U$4:U$134)</f>
        <v>5.8603564488257575E-3</v>
      </c>
    </row>
    <row r="23" spans="2:4">
      <c r="B23" s="192">
        <v>20</v>
      </c>
      <c r="C23" s="190" t="s">
        <v>29</v>
      </c>
      <c r="D23" s="193">
        <f ca="1">AVERAGEIF('Índices y Ranking Barrio Orden'!$B$4:$B$134,CONCATENATE("=",OFFSET($C23,0,0)),'Índices y Ranking Barrio Orden'!U$4:U$134)</f>
        <v>5.864720757970429E-3</v>
      </c>
    </row>
    <row r="24" spans="2:4">
      <c r="B24" s="192">
        <v>21</v>
      </c>
      <c r="C24" s="190" t="s">
        <v>41</v>
      </c>
      <c r="D24" s="193">
        <f ca="1">AVERAGEIF('Índices y Ranking Barrio Orden'!$B$4:$B$134,CONCATENATE("=",OFFSET($C24,0,0)),'Índices y Ranking Barrio Orden'!U$4:U$134)</f>
        <v>5.7753721517153911E-3</v>
      </c>
    </row>
    <row r="25" spans="2:4" ht="13.5" customHeight="1"/>
  </sheetData>
  <autoFilter ref="B3:D3" xr:uid="{00000000-0009-0000-0000-000005000000}">
    <sortState xmlns:xlrd2="http://schemas.microsoft.com/office/spreadsheetml/2017/richdata2" ref="B5:AP25">
      <sortCondition ref="B4"/>
    </sortState>
  </autoFilter>
  <sortState xmlns:xlrd2="http://schemas.microsoft.com/office/spreadsheetml/2017/richdata2" ref="B4:D24">
    <sortCondition ref="B4"/>
  </sortState>
  <conditionalFormatting sqref="D4:D24">
    <cfRule type="colorScale" priority="12">
      <colorScale>
        <cfvo type="min"/>
        <cfvo type="percentile" val="50"/>
        <cfvo type="max"/>
        <color rgb="FF63BE7B"/>
        <color rgb="FFFFEB84"/>
        <color rgb="FFF8696B"/>
      </colorScale>
    </cfRule>
  </conditionalFormatting>
  <conditionalFormatting sqref="B4:B24">
    <cfRule type="colorScale" priority="11">
      <colorScale>
        <cfvo type="min"/>
        <cfvo type="percentile" val="50"/>
        <cfvo type="max"/>
        <color rgb="FFF8696B"/>
        <color rgb="FFFFEB84"/>
        <color rgb="FF63BE7B"/>
      </colorScale>
    </cfRule>
  </conditionalFormatting>
  <conditionalFormatting sqref="D4:D24">
    <cfRule type="colorScale" priority="5">
      <colorScale>
        <cfvo type="min"/>
        <cfvo type="percentile" val="50"/>
        <cfvo type="max"/>
        <color rgb="FF63BE7B"/>
        <color rgb="FFFFEB84"/>
        <color rgb="FFF8696B"/>
      </colorScale>
    </cfRule>
  </conditionalFormatting>
  <conditionalFormatting sqref="D4:D24">
    <cfRule type="colorScale" priority="4">
      <colorScale>
        <cfvo type="min"/>
        <cfvo type="percentile" val="50"/>
        <cfvo type="max"/>
        <color rgb="FF63BE7B"/>
        <color rgb="FFFFEB84"/>
        <color rgb="FFF8696B"/>
      </colorScale>
    </cfRule>
  </conditionalFormatting>
  <conditionalFormatting sqref="B4:B24">
    <cfRule type="colorScale" priority="3">
      <colorScale>
        <cfvo type="min"/>
        <cfvo type="percentile" val="50"/>
        <cfvo type="max"/>
        <color rgb="FFF8696B"/>
        <color rgb="FFFFEB84"/>
        <color rgb="FF63BE7B"/>
      </colorScale>
    </cfRule>
  </conditionalFormatting>
  <conditionalFormatting sqref="D4:D24">
    <cfRule type="colorScale" priority="2">
      <colorScale>
        <cfvo type="min"/>
        <cfvo type="percentile" val="50"/>
        <cfvo type="max"/>
        <color rgb="FF63BE7B"/>
        <color rgb="FFFFEB84"/>
        <color rgb="FFF8696B"/>
      </colorScale>
    </cfRule>
  </conditionalFormatting>
  <conditionalFormatting sqref="B4:B24">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J135"/>
  <sheetViews>
    <sheetView showGridLines="0" zoomScale="80" zoomScaleNormal="80" workbookViewId="0">
      <pane xSplit="3" ySplit="4" topLeftCell="AA5" activePane="bottomRight" state="frozen"/>
      <selection pane="topRight" activeCell="D1" sqref="D1"/>
      <selection pane="bottomLeft" activeCell="A5" sqref="A5"/>
      <selection pane="bottomRight" activeCell="AJ5" sqref="AJ5"/>
    </sheetView>
  </sheetViews>
  <sheetFormatPr baseColWidth="10" defaultRowHeight="15.75"/>
  <cols>
    <col min="1" max="1" width="13.625" customWidth="1"/>
    <col min="2" max="2" width="20" bestFit="1" customWidth="1"/>
    <col min="3" max="3" width="29.125" bestFit="1" customWidth="1"/>
    <col min="4" max="4" width="13.125" customWidth="1"/>
    <col min="7" max="7" width="12.625" customWidth="1"/>
    <col min="11" max="11" width="12.625" bestFit="1" customWidth="1"/>
    <col min="12" max="12" width="13.625" customWidth="1"/>
    <col min="13" max="14" width="12.125" customWidth="1"/>
    <col min="15" max="15" width="13.625" customWidth="1"/>
    <col min="16" max="16" width="15.625" customWidth="1"/>
    <col min="17" max="26" width="10.625" customWidth="1"/>
    <col min="27" max="27" width="13.625" customWidth="1"/>
    <col min="28" max="28" width="10.625" customWidth="1"/>
    <col min="29" max="29" width="13.125" customWidth="1"/>
    <col min="30" max="30" width="14.625" bestFit="1" customWidth="1"/>
    <col min="32" max="32" width="13.125" customWidth="1"/>
    <col min="33" max="33" width="12" bestFit="1" customWidth="1"/>
    <col min="35" max="36" width="14.5" customWidth="1"/>
  </cols>
  <sheetData>
    <row r="1" spans="1:36">
      <c r="A1" t="s">
        <v>270</v>
      </c>
      <c r="B1" s="123" t="e">
        <f>SUM(#REF!)</f>
        <v>#REF!</v>
      </c>
      <c r="C1" s="139">
        <f>SUM(D5:O135)</f>
        <v>18759135.164626364</v>
      </c>
      <c r="D1" s="139" t="e">
        <f>B1-C1</f>
        <v>#REF!</v>
      </c>
      <c r="P1" s="18">
        <f>SUM(D5:D135)</f>
        <v>1188.5000000000007</v>
      </c>
      <c r="Q1" s="18">
        <f>SUM(E5:E135)</f>
        <v>11115.029999999997</v>
      </c>
      <c r="R1" s="18">
        <f>SUM(Q5:Q135)</f>
        <v>129.99999999999991</v>
      </c>
      <c r="S1" s="18">
        <f>SUM(F5:F135)</f>
        <v>4751.7334290509134</v>
      </c>
      <c r="T1" s="18">
        <f>SUM(G5:G135)</f>
        <v>5450075.4634467913</v>
      </c>
      <c r="U1" s="18">
        <f>SUM(T5:T135)</f>
        <v>129.99999999999997</v>
      </c>
      <c r="V1" s="18">
        <f>SUM(H5:H135)</f>
        <v>945.62000000000057</v>
      </c>
      <c r="W1" s="18">
        <f>SUM(I5:I135)</f>
        <v>1175.825</v>
      </c>
      <c r="X1" s="18">
        <f>SUM(J5:J135)</f>
        <v>548.00871826242314</v>
      </c>
      <c r="Y1" s="18">
        <f>SUM(K5:K135)</f>
        <v>13179475.779999997</v>
      </c>
      <c r="Z1" s="18">
        <f>SUM(Y5:Y135)</f>
        <v>130.00000000000006</v>
      </c>
      <c r="AA1" s="18">
        <f>SUM(L5:L135)</f>
        <v>4.8471997243731746</v>
      </c>
      <c r="AB1" s="18">
        <f>SUM(M5:M135)</f>
        <v>109843</v>
      </c>
      <c r="AC1" s="18">
        <f>SUM(N5:N135)</f>
        <v>5.1839999999999993</v>
      </c>
      <c r="AD1" s="18">
        <f>SUM(O5:O135)</f>
        <v>6.1728325853530244</v>
      </c>
    </row>
    <row r="2" spans="1:36" ht="16.5" thickBot="1">
      <c r="B2" s="123" t="s">
        <v>271</v>
      </c>
      <c r="C2" s="123" t="s">
        <v>272</v>
      </c>
      <c r="D2" s="123"/>
      <c r="P2" s="341" t="s">
        <v>159</v>
      </c>
      <c r="Q2" s="342"/>
      <c r="R2" s="342"/>
      <c r="S2" s="342"/>
      <c r="T2" s="342"/>
      <c r="U2" s="342"/>
      <c r="V2" s="342"/>
      <c r="W2" s="342"/>
      <c r="X2" s="342"/>
      <c r="Y2" s="342"/>
      <c r="Z2" s="342"/>
      <c r="AA2" s="342"/>
      <c r="AB2" s="342"/>
      <c r="AC2" s="342"/>
      <c r="AD2" s="342"/>
    </row>
    <row r="3" spans="1:36" ht="30" customHeight="1" thickTop="1" thickBot="1">
      <c r="A3" s="247"/>
      <c r="D3" s="331" t="s">
        <v>2</v>
      </c>
      <c r="E3" s="332"/>
      <c r="F3" s="333"/>
      <c r="G3" s="102" t="s">
        <v>208</v>
      </c>
      <c r="H3" s="334" t="s">
        <v>4</v>
      </c>
      <c r="I3" s="335"/>
      <c r="J3" s="335"/>
      <c r="K3" s="101" t="s">
        <v>289</v>
      </c>
      <c r="L3" s="336" t="s">
        <v>220</v>
      </c>
      <c r="M3" s="337"/>
      <c r="N3" s="337"/>
      <c r="O3" s="337"/>
      <c r="P3" s="338" t="s">
        <v>2</v>
      </c>
      <c r="Q3" s="339"/>
      <c r="R3" s="339"/>
      <c r="S3" s="340"/>
      <c r="T3" s="338" t="s">
        <v>208</v>
      </c>
      <c r="U3" s="340"/>
      <c r="V3" s="338" t="s">
        <v>4</v>
      </c>
      <c r="W3" s="339"/>
      <c r="X3" s="340"/>
      <c r="Y3" s="338" t="s">
        <v>217</v>
      </c>
      <c r="Z3" s="340"/>
      <c r="AA3" s="338" t="s">
        <v>220</v>
      </c>
      <c r="AB3" s="339"/>
      <c r="AC3" s="339"/>
      <c r="AD3" s="340"/>
    </row>
    <row r="4" spans="1:36" s="100" customFormat="1" ht="39.75" thickTop="1" thickBot="1">
      <c r="A4" s="246" t="s">
        <v>161</v>
      </c>
      <c r="B4" s="194" t="s">
        <v>15</v>
      </c>
      <c r="C4" s="195" t="s">
        <v>16</v>
      </c>
      <c r="D4" s="196" t="s">
        <v>13</v>
      </c>
      <c r="E4" s="196" t="s">
        <v>14</v>
      </c>
      <c r="F4" s="196" t="s">
        <v>238</v>
      </c>
      <c r="G4" s="197" t="s">
        <v>210</v>
      </c>
      <c r="H4" s="196" t="s">
        <v>153</v>
      </c>
      <c r="I4" s="196" t="s">
        <v>254</v>
      </c>
      <c r="J4" s="196" t="s">
        <v>239</v>
      </c>
      <c r="K4" s="198" t="s">
        <v>257</v>
      </c>
      <c r="L4" s="196" t="s">
        <v>207</v>
      </c>
      <c r="M4" s="196" t="s">
        <v>209</v>
      </c>
      <c r="N4" s="196" t="s">
        <v>226</v>
      </c>
      <c r="O4" s="196" t="s">
        <v>227</v>
      </c>
      <c r="P4" s="196" t="s">
        <v>13</v>
      </c>
      <c r="Q4" s="196" t="s">
        <v>14</v>
      </c>
      <c r="R4" s="196" t="s">
        <v>160</v>
      </c>
      <c r="S4" s="196" t="s">
        <v>238</v>
      </c>
      <c r="T4" s="197" t="s">
        <v>210</v>
      </c>
      <c r="U4" s="197" t="s">
        <v>211</v>
      </c>
      <c r="V4" s="196" t="s">
        <v>153</v>
      </c>
      <c r="W4" s="196" t="s">
        <v>228</v>
      </c>
      <c r="X4" s="196" t="s">
        <v>239</v>
      </c>
      <c r="Y4" s="198" t="s">
        <v>257</v>
      </c>
      <c r="Z4" s="198" t="s">
        <v>258</v>
      </c>
      <c r="AA4" s="199" t="s">
        <v>207</v>
      </c>
      <c r="AB4" s="199" t="s">
        <v>209</v>
      </c>
      <c r="AC4" s="196" t="s">
        <v>226</v>
      </c>
      <c r="AD4" s="196" t="s">
        <v>227</v>
      </c>
      <c r="AE4" s="200" t="s">
        <v>2</v>
      </c>
      <c r="AF4" s="201" t="s">
        <v>3</v>
      </c>
      <c r="AG4" s="202" t="s">
        <v>4</v>
      </c>
      <c r="AH4" s="201" t="s">
        <v>217</v>
      </c>
      <c r="AI4" s="202" t="s">
        <v>220</v>
      </c>
      <c r="AJ4" s="203" t="s">
        <v>0</v>
      </c>
    </row>
    <row r="5" spans="1:36" ht="16.5" thickTop="1">
      <c r="A5" s="248">
        <v>63</v>
      </c>
      <c r="B5" s="14" t="s">
        <v>17</v>
      </c>
      <c r="C5" s="15" t="s">
        <v>18</v>
      </c>
      <c r="D5" s="239">
        <v>7.95</v>
      </c>
      <c r="E5" s="240">
        <v>82.99</v>
      </c>
      <c r="F5" s="239">
        <v>25.384969560546374</v>
      </c>
      <c r="G5" s="241">
        <v>35509.212948075772</v>
      </c>
      <c r="H5" s="240">
        <v>7.41</v>
      </c>
      <c r="I5" s="240">
        <v>9.92</v>
      </c>
      <c r="J5" s="239">
        <v>4.1049064100816111</v>
      </c>
      <c r="K5" s="116">
        <v>123877.77</v>
      </c>
      <c r="L5" s="112">
        <v>3.7653037653037652E-2</v>
      </c>
      <c r="M5" s="242">
        <v>926</v>
      </c>
      <c r="N5" s="112">
        <v>3.2000000000000001E-2</v>
      </c>
      <c r="O5" s="112">
        <v>3.5000000000000003E-2</v>
      </c>
      <c r="P5" s="19">
        <f t="shared" ref="P5:P36" si="0">D5/$P$1</f>
        <v>6.6891039124947378E-3</v>
      </c>
      <c r="Q5" s="19">
        <f t="shared" ref="Q5:Q36" si="1">1-(E5/Q$1)</f>
        <v>0.99253353342276174</v>
      </c>
      <c r="R5" s="19">
        <f t="shared" ref="R5:R36" si="2">Q5/R$1</f>
        <v>7.6348733340212494E-3</v>
      </c>
      <c r="S5" s="19">
        <f t="shared" ref="S5:S36" si="3">F5/S$1</f>
        <v>5.3422545560634777E-3</v>
      </c>
      <c r="T5" s="19">
        <f t="shared" ref="T5:T36" si="4">1-(G5/T$1)</f>
        <v>0.99348463829790379</v>
      </c>
      <c r="U5" s="91">
        <f t="shared" ref="U5:U36" si="5">T5/U$1</f>
        <v>7.6421895253684924E-3</v>
      </c>
      <c r="V5" s="19">
        <f t="shared" ref="V5:V36" si="6">H5/V$1</f>
        <v>7.8361286774814368E-3</v>
      </c>
      <c r="W5" s="19">
        <f t="shared" ref="W5:W36" si="7">I5/W$1</f>
        <v>8.4366296004932707E-3</v>
      </c>
      <c r="X5" s="19">
        <f t="shared" ref="X5:X36" si="8">J5/X$1</f>
        <v>7.4905859583713919E-3</v>
      </c>
      <c r="Y5" s="19">
        <f t="shared" ref="Y5:Y36" si="9">1-(K5/Y$1)</f>
        <v>0.99060070581957549</v>
      </c>
      <c r="Z5" s="91">
        <f t="shared" ref="Z5:Z36" si="10">Y5/Z$1</f>
        <v>7.6200054293813465E-3</v>
      </c>
      <c r="AA5" s="19">
        <f t="shared" ref="AA5:AA36" si="11">L5/$AA$1</f>
        <v>7.7679979769983238E-3</v>
      </c>
      <c r="AB5" s="19">
        <f t="shared" ref="AB5:AB36" si="12">M5/AB$1</f>
        <v>8.4302140327558433E-3</v>
      </c>
      <c r="AC5" s="19">
        <f t="shared" ref="AC5:AC36" si="13">N5/AC$1</f>
        <v>6.1728395061728409E-3</v>
      </c>
      <c r="AD5" s="19">
        <f t="shared" ref="AD5:AD36" si="14">O5/AD$1</f>
        <v>5.6700063570569613E-3</v>
      </c>
      <c r="AE5" s="20">
        <f>('Modelo AHP'!$U$37*aux!P5)+('Modelo AHP'!$U$38*aux!R5)+('Modelo AHP'!$U$39*aux!S5)</f>
        <v>5.9755712407886328E-3</v>
      </c>
      <c r="AF5" s="21">
        <f>aux!U5</f>
        <v>7.6421895253684924E-3</v>
      </c>
      <c r="AG5" s="20">
        <f>('Modelo AHP'!$U$47*aux!V5)+('Modelo AHP'!$U$48*aux!W5)+('Modelo AHP'!$U$49*aux!X5)</f>
        <v>7.9685550371678439E-3</v>
      </c>
      <c r="AH5" s="21">
        <f t="shared" ref="AH5:AH36" si="15">Z5</f>
        <v>7.6200054293813465E-3</v>
      </c>
      <c r="AI5" s="20">
        <f>('Modelo AHP'!$U$56*aux!AA5)+('Modelo AHP'!$U$57*aux!AB5)+('Modelo AHP'!$U$58*aux!AC5)+('Modelo AHP'!$U$59*aux!AD5)</f>
        <v>7.487080809295275E-3</v>
      </c>
      <c r="AJ5" s="22">
        <f>('Modelo AHP'!$U$23*aux!AE5)+('Modelo AHP'!$U$24*aux!AF5)+('Modelo AHP'!$U$25*aux!AG5)+('Modelo AHP'!$U$26*aux!AH5)+('Modelo AHP'!$U$27*aux!AI5)</f>
        <v>7.4593952596246019E-3</v>
      </c>
    </row>
    <row r="6" spans="1:36">
      <c r="A6" s="248">
        <v>45</v>
      </c>
      <c r="B6" s="14" t="s">
        <v>17</v>
      </c>
      <c r="C6" s="15" t="s">
        <v>19</v>
      </c>
      <c r="D6" s="239">
        <v>16.93</v>
      </c>
      <c r="E6" s="240">
        <v>83.7</v>
      </c>
      <c r="F6" s="239">
        <v>33.63778298204528</v>
      </c>
      <c r="G6" s="241">
        <v>26761.666506434147</v>
      </c>
      <c r="H6" s="240">
        <v>7.69</v>
      </c>
      <c r="I6" s="240">
        <v>11.15</v>
      </c>
      <c r="J6" s="239">
        <v>4.1049064100816111</v>
      </c>
      <c r="K6" s="116">
        <v>86189.55</v>
      </c>
      <c r="L6" s="112">
        <v>3.7653037653037652E-2</v>
      </c>
      <c r="M6" s="242">
        <v>926</v>
      </c>
      <c r="N6" s="112">
        <v>3.2000000000000001E-2</v>
      </c>
      <c r="O6" s="112">
        <v>3.5000000000000003E-2</v>
      </c>
      <c r="P6" s="19">
        <f t="shared" si="0"/>
        <v>1.4244846445098856E-2</v>
      </c>
      <c r="Q6" s="19">
        <f t="shared" si="1"/>
        <v>0.9924696559523456</v>
      </c>
      <c r="R6" s="19">
        <f t="shared" si="2"/>
        <v>7.6343819688642015E-3</v>
      </c>
      <c r="S6" s="19">
        <f t="shared" si="3"/>
        <v>7.0790551457268758E-3</v>
      </c>
      <c r="T6" s="19">
        <f t="shared" si="4"/>
        <v>0.99508967046678121</v>
      </c>
      <c r="U6" s="91">
        <f t="shared" si="5"/>
        <v>7.6545359266675496E-3</v>
      </c>
      <c r="V6" s="19">
        <f t="shared" si="6"/>
        <v>8.1322307057803307E-3</v>
      </c>
      <c r="W6" s="19">
        <f t="shared" si="7"/>
        <v>9.4827036336189476E-3</v>
      </c>
      <c r="X6" s="19">
        <f t="shared" si="8"/>
        <v>7.4905859583713919E-3</v>
      </c>
      <c r="Y6" s="19">
        <f t="shared" si="9"/>
        <v>0.99346032031632137</v>
      </c>
      <c r="Z6" s="91">
        <f t="shared" si="10"/>
        <v>7.6420024639716998E-3</v>
      </c>
      <c r="AA6" s="19">
        <f t="shared" si="11"/>
        <v>7.7679979769983238E-3</v>
      </c>
      <c r="AB6" s="19">
        <f t="shared" si="12"/>
        <v>8.4302140327558433E-3</v>
      </c>
      <c r="AC6" s="19">
        <f t="shared" si="13"/>
        <v>6.1728395061728409E-3</v>
      </c>
      <c r="AD6" s="19">
        <f t="shared" si="14"/>
        <v>5.6700063570569613E-3</v>
      </c>
      <c r="AE6" s="23">
        <f>('Modelo AHP'!$U$37*aux!P6)+('Modelo AHP'!$U$38*aux!R6)+('Modelo AHP'!$U$39*aux!S6)</f>
        <v>9.2843252178522011E-3</v>
      </c>
      <c r="AF6" s="24">
        <f>aux!U6</f>
        <v>7.6545359266675496E-3</v>
      </c>
      <c r="AG6" s="23">
        <f>('Modelo AHP'!$U$47*aux!V6)+('Modelo AHP'!$U$48*aux!W6)+('Modelo AHP'!$U$49*aux!X6)</f>
        <v>8.4825151449727625E-3</v>
      </c>
      <c r="AH6" s="24">
        <f t="shared" si="15"/>
        <v>7.6420024639716998E-3</v>
      </c>
      <c r="AI6" s="23">
        <f>('Modelo AHP'!$U$56*aux!AA6)+('Modelo AHP'!$U$57*aux!AB6)+('Modelo AHP'!$U$58*aux!AC6)+('Modelo AHP'!$U$59*aux!AD6)</f>
        <v>7.487080809295275E-3</v>
      </c>
      <c r="AJ6" s="25">
        <f>('Modelo AHP'!$U$23*aux!AE6)+('Modelo AHP'!$U$24*aux!AF6)+('Modelo AHP'!$U$25*aux!AG6)+('Modelo AHP'!$U$26*aux!AH6)+('Modelo AHP'!$U$27*aux!AI6)</f>
        <v>8.1928461807593226E-3</v>
      </c>
    </row>
    <row r="7" spans="1:36">
      <c r="A7" s="248">
        <v>64</v>
      </c>
      <c r="B7" s="14" t="s">
        <v>17</v>
      </c>
      <c r="C7" s="15" t="s">
        <v>20</v>
      </c>
      <c r="D7" s="239">
        <v>9.9</v>
      </c>
      <c r="E7" s="240">
        <v>82.32</v>
      </c>
      <c r="F7" s="239">
        <v>21.475770925110133</v>
      </c>
      <c r="G7" s="241">
        <v>37426.712734786364</v>
      </c>
      <c r="H7" s="240">
        <v>6.82</v>
      </c>
      <c r="I7" s="240">
        <v>9.32</v>
      </c>
      <c r="J7" s="239">
        <v>4.1049064100816111</v>
      </c>
      <c r="K7" s="116">
        <v>146492.79999999999</v>
      </c>
      <c r="L7" s="112">
        <v>3.7653037653037652E-2</v>
      </c>
      <c r="M7" s="242">
        <v>926</v>
      </c>
      <c r="N7" s="112">
        <v>3.2000000000000001E-2</v>
      </c>
      <c r="O7" s="112">
        <v>3.5000000000000003E-2</v>
      </c>
      <c r="P7" s="19">
        <f t="shared" si="0"/>
        <v>8.3298275136726926E-3</v>
      </c>
      <c r="Q7" s="19">
        <f t="shared" si="1"/>
        <v>0.99259381216245035</v>
      </c>
      <c r="R7" s="19">
        <f t="shared" si="2"/>
        <v>7.6353370166342381E-3</v>
      </c>
      <c r="S7" s="19">
        <f t="shared" si="3"/>
        <v>4.5195655955388037E-3</v>
      </c>
      <c r="T7" s="19">
        <f t="shared" si="4"/>
        <v>0.99313280834626894</v>
      </c>
      <c r="U7" s="91">
        <f t="shared" si="5"/>
        <v>7.639483141125147E-3</v>
      </c>
      <c r="V7" s="19">
        <f t="shared" si="6"/>
        <v>7.2121994035659106E-3</v>
      </c>
      <c r="W7" s="19">
        <f t="shared" si="7"/>
        <v>7.926349584334403E-3</v>
      </c>
      <c r="X7" s="19">
        <f t="shared" si="8"/>
        <v>7.4905859583713919E-3</v>
      </c>
      <c r="Y7" s="19">
        <f t="shared" si="9"/>
        <v>0.98888477793461982</v>
      </c>
      <c r="Z7" s="91">
        <f t="shared" si="10"/>
        <v>7.6068059841124568E-3</v>
      </c>
      <c r="AA7" s="19">
        <f t="shared" si="11"/>
        <v>7.7679979769983238E-3</v>
      </c>
      <c r="AB7" s="19">
        <f t="shared" si="12"/>
        <v>8.4302140327558433E-3</v>
      </c>
      <c r="AC7" s="19">
        <f t="shared" si="13"/>
        <v>6.1728395061728409E-3</v>
      </c>
      <c r="AD7" s="19">
        <f t="shared" si="14"/>
        <v>5.6700063570569613E-3</v>
      </c>
      <c r="AE7" s="23">
        <f>('Modelo AHP'!$U$37*aux!P7)+('Modelo AHP'!$U$38*aux!R7)+('Modelo AHP'!$U$39*aux!S7)</f>
        <v>5.9742213130885135E-3</v>
      </c>
      <c r="AF7" s="24">
        <f>aux!U7</f>
        <v>7.639483141125147E-3</v>
      </c>
      <c r="AG7" s="23">
        <f>('Modelo AHP'!$U$47*aux!V7)+('Modelo AHP'!$U$48*aux!W7)+('Modelo AHP'!$U$49*aux!X7)</f>
        <v>7.6367132669736219E-3</v>
      </c>
      <c r="AH7" s="24">
        <f t="shared" si="15"/>
        <v>7.6068059841124568E-3</v>
      </c>
      <c r="AI7" s="23">
        <f>('Modelo AHP'!$U$56*aux!AA7)+('Modelo AHP'!$U$57*aux!AB7)+('Modelo AHP'!$U$58*aux!AC7)+('Modelo AHP'!$U$59*aux!AD7)</f>
        <v>7.487080809295275E-3</v>
      </c>
      <c r="AJ7" s="25">
        <f>('Modelo AHP'!$U$23*aux!AE7)+('Modelo AHP'!$U$24*aux!AF7)+('Modelo AHP'!$U$25*aux!AG7)+('Modelo AHP'!$U$26*aux!AH7)+('Modelo AHP'!$U$27*aux!AI7)</f>
        <v>7.3439060180310505E-3</v>
      </c>
    </row>
    <row r="8" spans="1:36">
      <c r="A8" s="248">
        <v>66</v>
      </c>
      <c r="B8" s="14" t="s">
        <v>17</v>
      </c>
      <c r="C8" s="15" t="s">
        <v>21</v>
      </c>
      <c r="D8" s="239">
        <v>9.93</v>
      </c>
      <c r="E8" s="240">
        <v>85.57</v>
      </c>
      <c r="F8" s="239">
        <v>20.913147957432201</v>
      </c>
      <c r="G8" s="241">
        <v>41583.813435128395</v>
      </c>
      <c r="H8" s="240">
        <v>6.25</v>
      </c>
      <c r="I8" s="240">
        <v>9.1449999999999996</v>
      </c>
      <c r="J8" s="239">
        <v>4.1049064100816111</v>
      </c>
      <c r="K8" s="116">
        <v>158262.44</v>
      </c>
      <c r="L8" s="112">
        <v>3.7653037653037652E-2</v>
      </c>
      <c r="M8" s="242">
        <v>926</v>
      </c>
      <c r="N8" s="112">
        <v>3.2000000000000001E-2</v>
      </c>
      <c r="O8" s="112">
        <v>3.5000000000000003E-2</v>
      </c>
      <c r="P8" s="19">
        <f t="shared" si="0"/>
        <v>8.355069415229276E-3</v>
      </c>
      <c r="Q8" s="19">
        <f t="shared" si="1"/>
        <v>0.99230141529082694</v>
      </c>
      <c r="R8" s="19">
        <f t="shared" si="2"/>
        <v>7.6330878099294432E-3</v>
      </c>
      <c r="S8" s="19">
        <f t="shared" si="3"/>
        <v>4.4011618643365873E-3</v>
      </c>
      <c r="T8" s="19">
        <f t="shared" si="4"/>
        <v>0.99237004813712626</v>
      </c>
      <c r="U8" s="91">
        <f t="shared" si="5"/>
        <v>7.6336157549009732E-3</v>
      </c>
      <c r="V8" s="19">
        <f t="shared" si="6"/>
        <v>6.6094202745288766E-3</v>
      </c>
      <c r="W8" s="19">
        <f t="shared" si="7"/>
        <v>7.7775179129547329E-3</v>
      </c>
      <c r="X8" s="19">
        <f t="shared" si="8"/>
        <v>7.4905859583713919E-3</v>
      </c>
      <c r="Y8" s="19">
        <f t="shared" si="9"/>
        <v>0.9879917500026697</v>
      </c>
      <c r="Z8" s="91">
        <f t="shared" si="10"/>
        <v>7.5999365384820713E-3</v>
      </c>
      <c r="AA8" s="19">
        <f t="shared" si="11"/>
        <v>7.7679979769983238E-3</v>
      </c>
      <c r="AB8" s="19">
        <f t="shared" si="12"/>
        <v>8.4302140327558433E-3</v>
      </c>
      <c r="AC8" s="19">
        <f t="shared" si="13"/>
        <v>6.1728395061728409E-3</v>
      </c>
      <c r="AD8" s="19">
        <f t="shared" si="14"/>
        <v>5.6700063570569613E-3</v>
      </c>
      <c r="AE8" s="23">
        <f>('Modelo AHP'!$U$37*aux!P8)+('Modelo AHP'!$U$38*aux!R8)+('Modelo AHP'!$U$39*aux!S8)</f>
        <v>5.9105267241636797E-3</v>
      </c>
      <c r="AF8" s="24">
        <f>aux!U8</f>
        <v>7.6336157549009732E-3</v>
      </c>
      <c r="AG8" s="23">
        <f>('Modelo AHP'!$U$47*aux!V8)+('Modelo AHP'!$U$48*aux!W8)+('Modelo AHP'!$U$49*aux!X8)</f>
        <v>7.4687268179773354E-3</v>
      </c>
      <c r="AH8" s="24">
        <f t="shared" si="15"/>
        <v>7.5999365384820713E-3</v>
      </c>
      <c r="AI8" s="23">
        <f>('Modelo AHP'!$U$56*aux!AA8)+('Modelo AHP'!$U$57*aux!AB8)+('Modelo AHP'!$U$58*aux!AC8)+('Modelo AHP'!$U$59*aux!AD8)</f>
        <v>7.487080809295275E-3</v>
      </c>
      <c r="AJ8" s="25">
        <f>('Modelo AHP'!$U$23*aux!AE8)+('Modelo AHP'!$U$24*aux!AF8)+('Modelo AHP'!$U$25*aux!AG8)+('Modelo AHP'!$U$26*aux!AH8)+('Modelo AHP'!$U$27*aux!AI8)</f>
        <v>7.2734618792076383E-3</v>
      </c>
    </row>
    <row r="9" spans="1:36">
      <c r="A9" s="248">
        <v>62</v>
      </c>
      <c r="B9" s="14" t="s">
        <v>17</v>
      </c>
      <c r="C9" s="15" t="s">
        <v>22</v>
      </c>
      <c r="D9" s="239">
        <v>11.6</v>
      </c>
      <c r="E9" s="240">
        <v>84.09</v>
      </c>
      <c r="F9" s="239">
        <v>24.474369794151102</v>
      </c>
      <c r="G9" s="241">
        <v>31866.058945599867</v>
      </c>
      <c r="H9" s="240">
        <v>6.51</v>
      </c>
      <c r="I9" s="240">
        <v>9.6150000000000002</v>
      </c>
      <c r="J9" s="239">
        <v>4.1049064100816111</v>
      </c>
      <c r="K9" s="116">
        <v>106451.1</v>
      </c>
      <c r="L9" s="112">
        <v>3.7653037653037652E-2</v>
      </c>
      <c r="M9" s="242">
        <v>926</v>
      </c>
      <c r="N9" s="112">
        <v>3.2000000000000001E-2</v>
      </c>
      <c r="O9" s="112">
        <v>3.5000000000000003E-2</v>
      </c>
      <c r="P9" s="19">
        <f t="shared" si="0"/>
        <v>9.760201935212447E-3</v>
      </c>
      <c r="Q9" s="19">
        <f t="shared" si="1"/>
        <v>0.99243456832775079</v>
      </c>
      <c r="R9" s="19">
        <f t="shared" si="2"/>
        <v>7.6341120640596267E-3</v>
      </c>
      <c r="S9" s="19">
        <f t="shared" si="3"/>
        <v>5.1506192760142873E-3</v>
      </c>
      <c r="T9" s="19">
        <f t="shared" si="4"/>
        <v>0.99415309766638593</v>
      </c>
      <c r="U9" s="91">
        <f t="shared" si="5"/>
        <v>7.6473315205106626E-3</v>
      </c>
      <c r="V9" s="19">
        <f t="shared" si="6"/>
        <v>6.8843721579492775E-3</v>
      </c>
      <c r="W9" s="19">
        <f t="shared" si="7"/>
        <v>8.1772372589458461E-3</v>
      </c>
      <c r="X9" s="19">
        <f t="shared" si="8"/>
        <v>7.4905859583713919E-3</v>
      </c>
      <c r="Y9" s="19">
        <f t="shared" si="9"/>
        <v>0.9919229640255085</v>
      </c>
      <c r="Z9" s="91">
        <f t="shared" si="10"/>
        <v>7.6301766463500618E-3</v>
      </c>
      <c r="AA9" s="19">
        <f t="shared" si="11"/>
        <v>7.7679979769983238E-3</v>
      </c>
      <c r="AB9" s="19">
        <f t="shared" si="12"/>
        <v>8.4302140327558433E-3</v>
      </c>
      <c r="AC9" s="19">
        <f t="shared" si="13"/>
        <v>6.1728395061728409E-3</v>
      </c>
      <c r="AD9" s="19">
        <f t="shared" si="14"/>
        <v>5.6700063570569613E-3</v>
      </c>
      <c r="AE9" s="23">
        <f>('Modelo AHP'!$U$37*aux!P9)+('Modelo AHP'!$U$38*aux!R9)+('Modelo AHP'!$U$39*aux!S9)</f>
        <v>6.7818433525782696E-3</v>
      </c>
      <c r="AF9" s="24">
        <f>aux!U9</f>
        <v>7.6473315205106626E-3</v>
      </c>
      <c r="AG9" s="23">
        <f>('Modelo AHP'!$U$47*aux!V9)+('Modelo AHP'!$U$48*aux!W9)+('Modelo AHP'!$U$49*aux!X9)</f>
        <v>7.6924958375708258E-3</v>
      </c>
      <c r="AH9" s="24">
        <f t="shared" si="15"/>
        <v>7.6301766463500618E-3</v>
      </c>
      <c r="AI9" s="23">
        <f>('Modelo AHP'!$U$56*aux!AA9)+('Modelo AHP'!$U$57*aux!AB9)+('Modelo AHP'!$U$58*aux!AC9)+('Modelo AHP'!$U$59*aux!AD9)</f>
        <v>7.487080809295275E-3</v>
      </c>
      <c r="AJ9" s="25">
        <f>('Modelo AHP'!$U$23*aux!AE9)+('Modelo AHP'!$U$24*aux!AF9)+('Modelo AHP'!$U$25*aux!AG9)+('Modelo AHP'!$U$26*aux!AH9)+('Modelo AHP'!$U$27*aux!AI9)</f>
        <v>7.5020366990519206E-3</v>
      </c>
    </row>
    <row r="10" spans="1:36">
      <c r="A10" s="248">
        <v>58</v>
      </c>
      <c r="B10" s="14" t="s">
        <v>17</v>
      </c>
      <c r="C10" s="15" t="s">
        <v>23</v>
      </c>
      <c r="D10" s="239">
        <v>13.7</v>
      </c>
      <c r="E10" s="240">
        <v>82.47</v>
      </c>
      <c r="F10" s="239">
        <v>25.620749644156255</v>
      </c>
      <c r="G10" s="241">
        <v>31684.186417871879</v>
      </c>
      <c r="H10" s="240">
        <v>6.55</v>
      </c>
      <c r="I10" s="240">
        <v>9.5150000000000006</v>
      </c>
      <c r="J10" s="239">
        <v>4.1049064100816111</v>
      </c>
      <c r="K10" s="116">
        <v>168590.95</v>
      </c>
      <c r="L10" s="112">
        <v>3.7653037653037652E-2</v>
      </c>
      <c r="M10" s="242">
        <v>926</v>
      </c>
      <c r="N10" s="112">
        <v>3.2000000000000001E-2</v>
      </c>
      <c r="O10" s="112">
        <v>3.5000000000000003E-2</v>
      </c>
      <c r="P10" s="19">
        <f t="shared" si="0"/>
        <v>1.152713504417332E-2</v>
      </c>
      <c r="Q10" s="19">
        <f t="shared" si="1"/>
        <v>0.99258031692222148</v>
      </c>
      <c r="R10" s="19">
        <f t="shared" si="2"/>
        <v>7.6352332070940164E-3</v>
      </c>
      <c r="S10" s="19">
        <f t="shared" si="3"/>
        <v>5.3918743605264937E-3</v>
      </c>
      <c r="T10" s="19">
        <f t="shared" si="4"/>
        <v>0.99418646831032431</v>
      </c>
      <c r="U10" s="91">
        <f t="shared" si="5"/>
        <v>7.6475882177717272E-3</v>
      </c>
      <c r="V10" s="19">
        <f t="shared" si="6"/>
        <v>6.9266724477062627E-3</v>
      </c>
      <c r="W10" s="19">
        <f t="shared" si="7"/>
        <v>8.0921905895860353E-3</v>
      </c>
      <c r="X10" s="19">
        <f t="shared" si="8"/>
        <v>7.4905859583713919E-3</v>
      </c>
      <c r="Y10" s="19">
        <f t="shared" si="9"/>
        <v>0.98720806860498667</v>
      </c>
      <c r="Z10" s="91">
        <f t="shared" si="10"/>
        <v>7.5939082200383555E-3</v>
      </c>
      <c r="AA10" s="19">
        <f t="shared" si="11"/>
        <v>7.7679979769983238E-3</v>
      </c>
      <c r="AB10" s="19">
        <f t="shared" si="12"/>
        <v>8.4302140327558433E-3</v>
      </c>
      <c r="AC10" s="19">
        <f t="shared" si="13"/>
        <v>6.1728395061728409E-3</v>
      </c>
      <c r="AD10" s="19">
        <f t="shared" si="14"/>
        <v>5.6700063570569613E-3</v>
      </c>
      <c r="AE10" s="23">
        <f>('Modelo AHP'!$U$37*aux!P10)+('Modelo AHP'!$U$38*aux!R10)+('Modelo AHP'!$U$39*aux!S10)</f>
        <v>7.4567884502772935E-3</v>
      </c>
      <c r="AF10" s="24">
        <f>aux!U10</f>
        <v>7.6475882177717272E-3</v>
      </c>
      <c r="AG10" s="23">
        <f>('Modelo AHP'!$U$47*aux!V10)+('Modelo AHP'!$U$48*aux!W10)+('Modelo AHP'!$U$49*aux!X10)</f>
        <v>7.6619408720179942E-3</v>
      </c>
      <c r="AH10" s="24">
        <f t="shared" si="15"/>
        <v>7.5939082200383555E-3</v>
      </c>
      <c r="AI10" s="23">
        <f>('Modelo AHP'!$U$56*aux!AA10)+('Modelo AHP'!$U$57*aux!AB10)+('Modelo AHP'!$U$58*aux!AC10)+('Modelo AHP'!$U$59*aux!AD10)</f>
        <v>7.487080809295275E-3</v>
      </c>
      <c r="AJ10" s="25">
        <f>('Modelo AHP'!$U$23*aux!AE10)+('Modelo AHP'!$U$24*aux!AF10)+('Modelo AHP'!$U$25*aux!AG10)+('Modelo AHP'!$U$26*aux!AH10)+('Modelo AHP'!$U$27*aux!AI10)</f>
        <v>7.601590643093882E-3</v>
      </c>
    </row>
    <row r="11" spans="1:36">
      <c r="A11" s="248">
        <v>88</v>
      </c>
      <c r="B11" s="14" t="s">
        <v>24</v>
      </c>
      <c r="C11" s="15" t="s">
        <v>25</v>
      </c>
      <c r="D11" s="239">
        <v>3.84</v>
      </c>
      <c r="E11" s="240">
        <v>85.8</v>
      </c>
      <c r="F11" s="239">
        <v>25.733732643615571</v>
      </c>
      <c r="G11" s="241">
        <v>35479.451419982761</v>
      </c>
      <c r="H11" s="240">
        <v>6.39</v>
      </c>
      <c r="I11" s="240">
        <v>7.75</v>
      </c>
      <c r="J11" s="239">
        <v>3.3840580393784729</v>
      </c>
      <c r="K11" s="116">
        <v>85593.4</v>
      </c>
      <c r="L11" s="112">
        <v>3.275315388247993E-2</v>
      </c>
      <c r="M11" s="242">
        <v>276</v>
      </c>
      <c r="N11" s="112">
        <v>2.9000000000000001E-2</v>
      </c>
      <c r="O11" s="112">
        <v>3.7037037037037035E-2</v>
      </c>
      <c r="P11" s="19">
        <f t="shared" si="0"/>
        <v>3.2309633992427412E-3</v>
      </c>
      <c r="Q11" s="19">
        <f t="shared" si="1"/>
        <v>0.99228072258914279</v>
      </c>
      <c r="R11" s="19">
        <f t="shared" si="2"/>
        <v>7.6329286353011032E-3</v>
      </c>
      <c r="S11" s="19">
        <f t="shared" si="3"/>
        <v>5.4156515780716874E-3</v>
      </c>
      <c r="T11" s="19">
        <f t="shared" si="4"/>
        <v>0.99349009905313412</v>
      </c>
      <c r="U11" s="91">
        <f t="shared" si="5"/>
        <v>7.6422315311779569E-3</v>
      </c>
      <c r="V11" s="19">
        <f t="shared" si="6"/>
        <v>6.7574712886783227E-3</v>
      </c>
      <c r="W11" s="19">
        <f t="shared" si="7"/>
        <v>6.5911168753853677E-3</v>
      </c>
      <c r="X11" s="19">
        <f t="shared" si="8"/>
        <v>6.1751901504566217E-3</v>
      </c>
      <c r="Y11" s="19">
        <f t="shared" si="9"/>
        <v>0.99350555352665171</v>
      </c>
      <c r="Z11" s="91">
        <f t="shared" si="10"/>
        <v>7.6423504117434709E-3</v>
      </c>
      <c r="AA11" s="19">
        <f t="shared" si="11"/>
        <v>6.7571290115790456E-3</v>
      </c>
      <c r="AB11" s="19">
        <f t="shared" si="12"/>
        <v>2.5126771847090849E-3</v>
      </c>
      <c r="AC11" s="19">
        <f t="shared" si="13"/>
        <v>5.5941358024691372E-3</v>
      </c>
      <c r="AD11" s="19">
        <f t="shared" si="14"/>
        <v>6.0000067270444025E-3</v>
      </c>
      <c r="AE11" s="23">
        <f>('Modelo AHP'!$U$37*aux!P11)+('Modelo AHP'!$U$38*aux!R11)+('Modelo AHP'!$U$39*aux!S11)</f>
        <v>4.9819728301459445E-3</v>
      </c>
      <c r="AF11" s="24">
        <f>aux!U11</f>
        <v>7.6422315311779569E-3</v>
      </c>
      <c r="AG11" s="23">
        <f>('Modelo AHP'!$U$47*aux!V11)+('Modelo AHP'!$U$48*aux!W11)+('Modelo AHP'!$U$49*aux!X11)</f>
        <v>6.4581460649816829E-3</v>
      </c>
      <c r="AH11" s="24">
        <f t="shared" si="15"/>
        <v>7.6423504117434709E-3</v>
      </c>
      <c r="AI11" s="23">
        <f>('Modelo AHP'!$U$56*aux!AA11)+('Modelo AHP'!$U$57*aux!AB11)+('Modelo AHP'!$U$58*aux!AC11)+('Modelo AHP'!$U$59*aux!AD11)</f>
        <v>4.3148232686282583E-3</v>
      </c>
      <c r="AJ11" s="25">
        <f>('Modelo AHP'!$U$23*aux!AE11)+('Modelo AHP'!$U$24*aux!AF11)+('Modelo AHP'!$U$25*aux!AG11)+('Modelo AHP'!$U$26*aux!AH11)+('Modelo AHP'!$U$27*aux!AI11)</f>
        <v>6.4821431901315365E-3</v>
      </c>
    </row>
    <row r="12" spans="1:36">
      <c r="A12" s="248">
        <v>87</v>
      </c>
      <c r="B12" s="14" t="s">
        <v>24</v>
      </c>
      <c r="C12" s="15" t="s">
        <v>316</v>
      </c>
      <c r="D12" s="239">
        <v>4.07</v>
      </c>
      <c r="E12" s="240">
        <v>86.21</v>
      </c>
      <c r="F12" s="239">
        <v>25.601391816387299</v>
      </c>
      <c r="G12" s="241">
        <v>45515.797866970956</v>
      </c>
      <c r="H12" s="240">
        <v>6.57</v>
      </c>
      <c r="I12" s="240">
        <v>7.9050000000000002</v>
      </c>
      <c r="J12" s="239">
        <v>3.3840580393784729</v>
      </c>
      <c r="K12" s="116">
        <v>82991.45</v>
      </c>
      <c r="L12" s="112">
        <v>3.275315388247993E-2</v>
      </c>
      <c r="M12" s="242">
        <v>276</v>
      </c>
      <c r="N12" s="112">
        <v>2.9000000000000001E-2</v>
      </c>
      <c r="O12" s="112">
        <v>3.7037037037037035E-2</v>
      </c>
      <c r="P12" s="19">
        <f t="shared" si="0"/>
        <v>3.4244846445098845E-3</v>
      </c>
      <c r="Q12" s="19">
        <f t="shared" si="1"/>
        <v>0.99224383559918417</v>
      </c>
      <c r="R12" s="19">
        <f t="shared" si="2"/>
        <v>7.6326448892244988E-3</v>
      </c>
      <c r="S12" s="19">
        <f t="shared" si="3"/>
        <v>5.3878005150429465E-3</v>
      </c>
      <c r="T12" s="19">
        <f t="shared" si="4"/>
        <v>0.99164859309339082</v>
      </c>
      <c r="U12" s="91">
        <f t="shared" si="5"/>
        <v>7.6280661007183921E-3</v>
      </c>
      <c r="V12" s="19">
        <f t="shared" si="6"/>
        <v>6.9478225925847549E-3</v>
      </c>
      <c r="W12" s="19">
        <f t="shared" si="7"/>
        <v>6.7229392128930754E-3</v>
      </c>
      <c r="X12" s="19">
        <f t="shared" si="8"/>
        <v>6.1751901504566217E-3</v>
      </c>
      <c r="Y12" s="19">
        <f t="shared" si="9"/>
        <v>0.99370297791920215</v>
      </c>
      <c r="Z12" s="91">
        <f t="shared" si="10"/>
        <v>7.6438690609169366E-3</v>
      </c>
      <c r="AA12" s="19">
        <f t="shared" si="11"/>
        <v>6.7571290115790456E-3</v>
      </c>
      <c r="AB12" s="19">
        <f t="shared" si="12"/>
        <v>2.5126771847090849E-3</v>
      </c>
      <c r="AC12" s="19">
        <f t="shared" si="13"/>
        <v>5.5941358024691372E-3</v>
      </c>
      <c r="AD12" s="19">
        <f t="shared" si="14"/>
        <v>6.0000067270444025E-3</v>
      </c>
      <c r="AE12" s="23">
        <f>('Modelo AHP'!$U$37*aux!P12)+('Modelo AHP'!$U$38*aux!R12)+('Modelo AHP'!$U$39*aux!S12)</f>
        <v>5.0232901913011829E-3</v>
      </c>
      <c r="AF12" s="24">
        <f>aux!U12</f>
        <v>7.6280661007183921E-3</v>
      </c>
      <c r="AG12" s="23">
        <f>('Modelo AHP'!$U$47*aux!V12)+('Modelo AHP'!$U$48*aux!W12)+('Modelo AHP'!$U$49*aux!X12)</f>
        <v>6.5488073440033807E-3</v>
      </c>
      <c r="AH12" s="24">
        <f t="shared" si="15"/>
        <v>7.6438690609169366E-3</v>
      </c>
      <c r="AI12" s="23">
        <f>('Modelo AHP'!$U$56*aux!AA12)+('Modelo AHP'!$U$57*aux!AB12)+('Modelo AHP'!$U$58*aux!AC12)+('Modelo AHP'!$U$59*aux!AD12)</f>
        <v>4.3148232686282583E-3</v>
      </c>
      <c r="AJ12" s="25">
        <f>('Modelo AHP'!$U$23*aux!AE12)+('Modelo AHP'!$U$24*aux!AF12)+('Modelo AHP'!$U$25*aux!AG12)+('Modelo AHP'!$U$26*aux!AH12)+('Modelo AHP'!$U$27*aux!AI12)</f>
        <v>6.5155638189119628E-3</v>
      </c>
    </row>
    <row r="13" spans="1:36">
      <c r="A13" s="248">
        <v>69</v>
      </c>
      <c r="B13" s="14" t="s">
        <v>24</v>
      </c>
      <c r="C13" s="15" t="s">
        <v>317</v>
      </c>
      <c r="D13" s="239">
        <v>10.029999999999999</v>
      </c>
      <c r="E13" s="240">
        <v>86.97</v>
      </c>
      <c r="F13" s="239">
        <v>37.771591115414878</v>
      </c>
      <c r="G13" s="241">
        <v>32349.243225554786</v>
      </c>
      <c r="H13" s="240">
        <v>7.25</v>
      </c>
      <c r="I13" s="240">
        <v>9.3249999999999993</v>
      </c>
      <c r="J13" s="239">
        <v>3.3840580393784729</v>
      </c>
      <c r="K13" s="116">
        <v>78861.740000000005</v>
      </c>
      <c r="L13" s="112">
        <v>3.275315388247993E-2</v>
      </c>
      <c r="M13" s="242">
        <v>276</v>
      </c>
      <c r="N13" s="112">
        <v>2.9000000000000001E-2</v>
      </c>
      <c r="O13" s="112">
        <v>3.7037037037037035E-2</v>
      </c>
      <c r="P13" s="19">
        <f t="shared" si="0"/>
        <v>8.4392090870845544E-3</v>
      </c>
      <c r="Q13" s="19">
        <f t="shared" si="1"/>
        <v>0.99217545971535837</v>
      </c>
      <c r="R13" s="19">
        <f t="shared" si="2"/>
        <v>7.632118920887377E-3</v>
      </c>
      <c r="S13" s="19">
        <f t="shared" si="3"/>
        <v>7.9490130663662211E-3</v>
      </c>
      <c r="T13" s="19">
        <f t="shared" si="4"/>
        <v>0.99406444122792093</v>
      </c>
      <c r="U13" s="91">
        <f t="shared" si="5"/>
        <v>7.6466495479070853E-3</v>
      </c>
      <c r="V13" s="19">
        <f t="shared" si="6"/>
        <v>7.6669275184534967E-3</v>
      </c>
      <c r="W13" s="19">
        <f t="shared" si="7"/>
        <v>7.9306019178023938E-3</v>
      </c>
      <c r="X13" s="19">
        <f t="shared" si="8"/>
        <v>6.1751901504566217E-3</v>
      </c>
      <c r="Y13" s="19">
        <f t="shared" si="9"/>
        <v>0.99401632194509026</v>
      </c>
      <c r="Z13" s="91">
        <f t="shared" si="10"/>
        <v>7.6462793995776138E-3</v>
      </c>
      <c r="AA13" s="19">
        <f t="shared" si="11"/>
        <v>6.7571290115790456E-3</v>
      </c>
      <c r="AB13" s="19">
        <f t="shared" si="12"/>
        <v>2.5126771847090849E-3</v>
      </c>
      <c r="AC13" s="19">
        <f t="shared" si="13"/>
        <v>5.5941358024691372E-3</v>
      </c>
      <c r="AD13" s="19">
        <f t="shared" si="14"/>
        <v>6.0000067270444025E-3</v>
      </c>
      <c r="AE13" s="23">
        <f>('Modelo AHP'!$U$37*aux!P13)+('Modelo AHP'!$U$38*aux!R13)+('Modelo AHP'!$U$39*aux!S13)</f>
        <v>8.0643824580338367E-3</v>
      </c>
      <c r="AF13" s="24">
        <f>aux!U13</f>
        <v>7.6466495479070853E-3</v>
      </c>
      <c r="AG13" s="23">
        <f>('Modelo AHP'!$U$47*aux!V13)+('Modelo AHP'!$U$48*aux!W13)+('Modelo AHP'!$U$49*aux!X13)</f>
        <v>7.2059926104473086E-3</v>
      </c>
      <c r="AH13" s="24">
        <f t="shared" si="15"/>
        <v>7.6462793995776138E-3</v>
      </c>
      <c r="AI13" s="23">
        <f>('Modelo AHP'!$U$56*aux!AA13)+('Modelo AHP'!$U$57*aux!AB13)+('Modelo AHP'!$U$58*aux!AC13)+('Modelo AHP'!$U$59*aux!AD13)</f>
        <v>4.3148232686282583E-3</v>
      </c>
      <c r="AJ13" s="25">
        <f>('Modelo AHP'!$U$23*aux!AE13)+('Modelo AHP'!$U$24*aux!AF13)+('Modelo AHP'!$U$25*aux!AG13)+('Modelo AHP'!$U$26*aux!AH13)+('Modelo AHP'!$U$27*aux!AI13)</f>
        <v>7.253829967229195E-3</v>
      </c>
    </row>
    <row r="14" spans="1:36">
      <c r="A14" s="248">
        <v>108</v>
      </c>
      <c r="B14" s="14" t="s">
        <v>24</v>
      </c>
      <c r="C14" s="15" t="s">
        <v>26</v>
      </c>
      <c r="D14" s="239">
        <v>4.12</v>
      </c>
      <c r="E14" s="240">
        <v>85.65</v>
      </c>
      <c r="F14" s="239">
        <v>16.584611056407372</v>
      </c>
      <c r="G14" s="241">
        <v>50471.944991068405</v>
      </c>
      <c r="H14" s="240">
        <v>5</v>
      </c>
      <c r="I14" s="240">
        <v>5.7149999999999999</v>
      </c>
      <c r="J14" s="239">
        <v>3.3840580393784729</v>
      </c>
      <c r="K14" s="116">
        <v>89149.77</v>
      </c>
      <c r="L14" s="112">
        <v>3.275315388247993E-2</v>
      </c>
      <c r="M14" s="242">
        <v>276</v>
      </c>
      <c r="N14" s="112">
        <v>2.9000000000000001E-2</v>
      </c>
      <c r="O14" s="112">
        <v>3.7037037037037035E-2</v>
      </c>
      <c r="P14" s="19">
        <f t="shared" si="0"/>
        <v>3.4665544804375246E-3</v>
      </c>
      <c r="Q14" s="19">
        <f t="shared" si="1"/>
        <v>0.99229421782937155</v>
      </c>
      <c r="R14" s="19">
        <f t="shared" si="2"/>
        <v>7.6330324448413249E-3</v>
      </c>
      <c r="S14" s="19">
        <f t="shared" si="3"/>
        <v>3.4902233688054122E-3</v>
      </c>
      <c r="T14" s="19">
        <f t="shared" si="4"/>
        <v>0.99073922089160427</v>
      </c>
      <c r="U14" s="91">
        <f t="shared" si="5"/>
        <v>7.6210709299354192E-3</v>
      </c>
      <c r="V14" s="19">
        <f t="shared" si="6"/>
        <v>5.2875362196231016E-3</v>
      </c>
      <c r="W14" s="19">
        <f t="shared" si="7"/>
        <v>4.86041715391321E-3</v>
      </c>
      <c r="X14" s="19">
        <f t="shared" si="8"/>
        <v>6.1751901504566217E-3</v>
      </c>
      <c r="Y14" s="19">
        <f t="shared" si="9"/>
        <v>0.99323571198975258</v>
      </c>
      <c r="Z14" s="91">
        <f t="shared" si="10"/>
        <v>7.6402747076134781E-3</v>
      </c>
      <c r="AA14" s="19">
        <f t="shared" si="11"/>
        <v>6.7571290115790456E-3</v>
      </c>
      <c r="AB14" s="19">
        <f t="shared" si="12"/>
        <v>2.5126771847090849E-3</v>
      </c>
      <c r="AC14" s="19">
        <f t="shared" si="13"/>
        <v>5.5941358024691372E-3</v>
      </c>
      <c r="AD14" s="19">
        <f t="shared" si="14"/>
        <v>6.0000067270444025E-3</v>
      </c>
      <c r="AE14" s="23">
        <f>('Modelo AHP'!$U$37*aux!P14)+('Modelo AHP'!$U$38*aux!R14)+('Modelo AHP'!$U$39*aux!S14)</f>
        <v>3.8974036098986375E-3</v>
      </c>
      <c r="AF14" s="24">
        <f>aux!U14</f>
        <v>7.6210709299354192E-3</v>
      </c>
      <c r="AG14" s="23">
        <f>('Modelo AHP'!$U$47*aux!V14)+('Modelo AHP'!$U$48*aux!W14)+('Modelo AHP'!$U$49*aux!X14)</f>
        <v>5.4419905918400872E-3</v>
      </c>
      <c r="AH14" s="24">
        <f t="shared" si="15"/>
        <v>7.6402747076134781E-3</v>
      </c>
      <c r="AI14" s="23">
        <f>('Modelo AHP'!$U$56*aux!AA14)+('Modelo AHP'!$U$57*aux!AB14)+('Modelo AHP'!$U$58*aux!AC14)+('Modelo AHP'!$U$59*aux!AD14)</f>
        <v>4.3148232686282583E-3</v>
      </c>
      <c r="AJ14" s="25">
        <f>('Modelo AHP'!$U$23*aux!AE14)+('Modelo AHP'!$U$24*aux!AF14)+('Modelo AHP'!$U$25*aux!AG14)+('Modelo AHP'!$U$26*aux!AH14)+('Modelo AHP'!$U$27*aux!AI14)</f>
        <v>5.9469156459537355E-3</v>
      </c>
    </row>
    <row r="15" spans="1:36">
      <c r="A15" s="248">
        <v>85</v>
      </c>
      <c r="B15" s="14" t="s">
        <v>24</v>
      </c>
      <c r="C15" s="15" t="s">
        <v>318</v>
      </c>
      <c r="D15" s="239">
        <v>7.83</v>
      </c>
      <c r="E15" s="240">
        <v>85.16</v>
      </c>
      <c r="F15" s="239">
        <v>28.057520691727934</v>
      </c>
      <c r="G15" s="241">
        <v>40446.1981682037</v>
      </c>
      <c r="H15" s="240">
        <v>5.86</v>
      </c>
      <c r="I15" s="240">
        <v>7.1950000000000003</v>
      </c>
      <c r="J15" s="239">
        <v>3.3840580393784729</v>
      </c>
      <c r="K15" s="116">
        <v>84211.54</v>
      </c>
      <c r="L15" s="112">
        <v>3.275315388247993E-2</v>
      </c>
      <c r="M15" s="242">
        <v>276</v>
      </c>
      <c r="N15" s="112">
        <v>2.9000000000000001E-2</v>
      </c>
      <c r="O15" s="112">
        <v>3.7037037037037035E-2</v>
      </c>
      <c r="P15" s="19">
        <f t="shared" si="0"/>
        <v>6.5881363062684018E-3</v>
      </c>
      <c r="Q15" s="19">
        <f t="shared" si="1"/>
        <v>0.99233830228078557</v>
      </c>
      <c r="R15" s="19">
        <f t="shared" si="2"/>
        <v>7.6333715560060475E-3</v>
      </c>
      <c r="S15" s="19">
        <f t="shared" si="3"/>
        <v>5.9046916479344675E-3</v>
      </c>
      <c r="T15" s="19">
        <f t="shared" si="4"/>
        <v>0.99257878199311678</v>
      </c>
      <c r="U15" s="91">
        <f t="shared" si="5"/>
        <v>7.635221399947054E-3</v>
      </c>
      <c r="V15" s="19">
        <f t="shared" si="6"/>
        <v>6.1969924493982748E-3</v>
      </c>
      <c r="W15" s="19">
        <f t="shared" si="7"/>
        <v>6.1191078604384153E-3</v>
      </c>
      <c r="X15" s="19">
        <f t="shared" si="8"/>
        <v>6.1751901504566217E-3</v>
      </c>
      <c r="Y15" s="19">
        <f t="shared" si="9"/>
        <v>0.99361040291695124</v>
      </c>
      <c r="Z15" s="91">
        <f t="shared" si="10"/>
        <v>7.6431569455150065E-3</v>
      </c>
      <c r="AA15" s="19">
        <f t="shared" si="11"/>
        <v>6.7571290115790456E-3</v>
      </c>
      <c r="AB15" s="19">
        <f t="shared" si="12"/>
        <v>2.5126771847090849E-3</v>
      </c>
      <c r="AC15" s="19">
        <f t="shared" si="13"/>
        <v>5.5941358024691372E-3</v>
      </c>
      <c r="AD15" s="19">
        <f t="shared" si="14"/>
        <v>6.0000067270444025E-3</v>
      </c>
      <c r="AE15" s="23">
        <f>('Modelo AHP'!$U$37*aux!P15)+('Modelo AHP'!$U$38*aux!R15)+('Modelo AHP'!$U$39*aux!S15)</f>
        <v>6.2825930362418051E-3</v>
      </c>
      <c r="AF15" s="24">
        <f>aux!U15</f>
        <v>7.635221399947054E-3</v>
      </c>
      <c r="AG15" s="23">
        <f>('Modelo AHP'!$U$47*aux!V15)+('Modelo AHP'!$U$48*aux!W15)+('Modelo AHP'!$U$49*aux!X15)</f>
        <v>6.1540105765108422E-3</v>
      </c>
      <c r="AH15" s="24">
        <f t="shared" si="15"/>
        <v>7.6431569455150065E-3</v>
      </c>
      <c r="AI15" s="23">
        <f>('Modelo AHP'!$U$56*aux!AA15)+('Modelo AHP'!$U$57*aux!AB15)+('Modelo AHP'!$U$58*aux!AC15)+('Modelo AHP'!$U$59*aux!AD15)</f>
        <v>4.3148232686282583E-3</v>
      </c>
      <c r="AJ15" s="25">
        <f>('Modelo AHP'!$U$23*aux!AE15)+('Modelo AHP'!$U$24*aux!AF15)+('Modelo AHP'!$U$25*aux!AG15)+('Modelo AHP'!$U$26*aux!AH15)+('Modelo AHP'!$U$27*aux!AI15)</f>
        <v>6.5930652177231134E-3</v>
      </c>
    </row>
    <row r="16" spans="1:36">
      <c r="A16" s="248">
        <v>77</v>
      </c>
      <c r="B16" s="14" t="s">
        <v>24</v>
      </c>
      <c r="C16" s="15" t="s">
        <v>27</v>
      </c>
      <c r="D16" s="239">
        <v>10.09</v>
      </c>
      <c r="E16" s="240">
        <v>85.32</v>
      </c>
      <c r="F16" s="239">
        <v>30.906478821021409</v>
      </c>
      <c r="G16" s="241">
        <v>34649.633461765203</v>
      </c>
      <c r="H16" s="240">
        <v>7.01</v>
      </c>
      <c r="I16" s="240">
        <v>9.4050000000000011</v>
      </c>
      <c r="J16" s="239">
        <v>3.3840580393784729</v>
      </c>
      <c r="K16" s="116">
        <v>81504.509999999995</v>
      </c>
      <c r="L16" s="112">
        <v>3.275315388247993E-2</v>
      </c>
      <c r="M16" s="242">
        <v>276</v>
      </c>
      <c r="N16" s="112">
        <v>2.9000000000000001E-2</v>
      </c>
      <c r="O16" s="112">
        <v>3.7037037037037035E-2</v>
      </c>
      <c r="P16" s="19">
        <f t="shared" si="0"/>
        <v>8.4896928901977229E-3</v>
      </c>
      <c r="Q16" s="19">
        <f t="shared" si="1"/>
        <v>0.9923239073578749</v>
      </c>
      <c r="R16" s="19">
        <f t="shared" si="2"/>
        <v>7.6332608258298119E-3</v>
      </c>
      <c r="S16" s="19">
        <f t="shared" si="3"/>
        <v>6.5042535071658065E-3</v>
      </c>
      <c r="T16" s="19">
        <f t="shared" si="4"/>
        <v>0.99364235712071192</v>
      </c>
      <c r="U16" s="91">
        <f t="shared" si="5"/>
        <v>7.6434027470824008E-3</v>
      </c>
      <c r="V16" s="19">
        <f t="shared" si="6"/>
        <v>7.413125779911588E-3</v>
      </c>
      <c r="W16" s="19">
        <f t="shared" si="7"/>
        <v>7.998639253290243E-3</v>
      </c>
      <c r="X16" s="19">
        <f t="shared" si="8"/>
        <v>6.1751901504566217E-3</v>
      </c>
      <c r="Y16" s="19">
        <f t="shared" si="9"/>
        <v>0.99381580031250683</v>
      </c>
      <c r="Z16" s="91">
        <f t="shared" si="10"/>
        <v>7.6447369254808188E-3</v>
      </c>
      <c r="AA16" s="19">
        <f t="shared" si="11"/>
        <v>6.7571290115790456E-3</v>
      </c>
      <c r="AB16" s="19">
        <f t="shared" si="12"/>
        <v>2.5126771847090849E-3</v>
      </c>
      <c r="AC16" s="19">
        <f t="shared" si="13"/>
        <v>5.5941358024691372E-3</v>
      </c>
      <c r="AD16" s="19">
        <f t="shared" si="14"/>
        <v>6.0000067270444025E-3</v>
      </c>
      <c r="AE16" s="23">
        <f>('Modelo AHP'!$U$37*aux!P16)+('Modelo AHP'!$U$38*aux!R16)+('Modelo AHP'!$U$39*aux!S16)</f>
        <v>7.2127860539417821E-3</v>
      </c>
      <c r="AF16" s="24">
        <f>aux!U16</f>
        <v>7.6434027470824008E-3</v>
      </c>
      <c r="AG16" s="23">
        <f>('Modelo AHP'!$U$47*aux!V16)+('Modelo AHP'!$U$48*aux!W16)+('Modelo AHP'!$U$49*aux!X16)</f>
        <v>7.1932191236239538E-3</v>
      </c>
      <c r="AH16" s="24">
        <f t="shared" si="15"/>
        <v>7.6447369254808188E-3</v>
      </c>
      <c r="AI16" s="23">
        <f>('Modelo AHP'!$U$56*aux!AA16)+('Modelo AHP'!$U$57*aux!AB16)+('Modelo AHP'!$U$58*aux!AC16)+('Modelo AHP'!$U$59*aux!AD16)</f>
        <v>4.3148232686282583E-3</v>
      </c>
      <c r="AJ16" s="25">
        <f>('Modelo AHP'!$U$23*aux!AE16)+('Modelo AHP'!$U$24*aux!AF16)+('Modelo AHP'!$U$25*aux!AG16)+('Modelo AHP'!$U$26*aux!AH16)+('Modelo AHP'!$U$27*aux!AI16)</f>
        <v>7.1061829173812152E-3</v>
      </c>
    </row>
    <row r="17" spans="1:36">
      <c r="A17" s="248">
        <v>81</v>
      </c>
      <c r="B17" s="14" t="s">
        <v>24</v>
      </c>
      <c r="C17" s="15" t="s">
        <v>28</v>
      </c>
      <c r="D17" s="239">
        <v>2.98</v>
      </c>
      <c r="E17" s="240">
        <v>73.78</v>
      </c>
      <c r="F17" s="239">
        <v>28.659286592865929</v>
      </c>
      <c r="G17" s="241">
        <v>38575</v>
      </c>
      <c r="H17" s="240">
        <v>9.1300000000000008</v>
      </c>
      <c r="I17" s="240">
        <v>9.68</v>
      </c>
      <c r="J17" s="239">
        <v>3.3840580393784729</v>
      </c>
      <c r="K17" s="116">
        <v>118352.83</v>
      </c>
      <c r="L17" s="112">
        <v>3.275315388247993E-2</v>
      </c>
      <c r="M17" s="242">
        <v>276</v>
      </c>
      <c r="N17" s="112">
        <v>2.9000000000000001E-2</v>
      </c>
      <c r="O17" s="112">
        <v>3.7037037037037035E-2</v>
      </c>
      <c r="P17" s="19">
        <f t="shared" si="0"/>
        <v>2.5073622212873356E-3</v>
      </c>
      <c r="Q17" s="19">
        <f t="shared" si="1"/>
        <v>0.9933621411728083</v>
      </c>
      <c r="R17" s="19">
        <f t="shared" si="2"/>
        <v>7.6412472397908377E-3</v>
      </c>
      <c r="S17" s="19">
        <f t="shared" si="3"/>
        <v>6.0313329905356634E-3</v>
      </c>
      <c r="T17" s="19">
        <f t="shared" si="4"/>
        <v>0.99292211635256811</v>
      </c>
      <c r="U17" s="91">
        <f t="shared" si="5"/>
        <v>7.6378624334812947E-3</v>
      </c>
      <c r="V17" s="19">
        <f t="shared" si="6"/>
        <v>9.6550411370317831E-3</v>
      </c>
      <c r="W17" s="19">
        <f t="shared" si="7"/>
        <v>8.2325175940297229E-3</v>
      </c>
      <c r="X17" s="19">
        <f t="shared" si="8"/>
        <v>6.1751901504566217E-3</v>
      </c>
      <c r="Y17" s="19">
        <f t="shared" si="9"/>
        <v>0.99101991369189346</v>
      </c>
      <c r="Z17" s="91">
        <f t="shared" si="10"/>
        <v>7.6232301053222543E-3</v>
      </c>
      <c r="AA17" s="19">
        <f t="shared" si="11"/>
        <v>6.7571290115790456E-3</v>
      </c>
      <c r="AB17" s="19">
        <f t="shared" si="12"/>
        <v>2.5126771847090849E-3</v>
      </c>
      <c r="AC17" s="19">
        <f t="shared" si="13"/>
        <v>5.5941358024691372E-3</v>
      </c>
      <c r="AD17" s="19">
        <f t="shared" si="14"/>
        <v>6.0000067270444025E-3</v>
      </c>
      <c r="AE17" s="23">
        <f>('Modelo AHP'!$U$37*aux!P17)+('Modelo AHP'!$U$38*aux!R17)+('Modelo AHP'!$U$39*aux!S17)</f>
        <v>5.1351331846866827E-3</v>
      </c>
      <c r="AF17" s="24">
        <f>aux!U17</f>
        <v>7.6378624334812947E-3</v>
      </c>
      <c r="AG17" s="23">
        <f>('Modelo AHP'!$U$47*aux!V17)+('Modelo AHP'!$U$48*aux!W17)+('Modelo AHP'!$U$49*aux!X17)</f>
        <v>7.6762593854439167E-3</v>
      </c>
      <c r="AH17" s="24">
        <f t="shared" si="15"/>
        <v>7.6232301053222543E-3</v>
      </c>
      <c r="AI17" s="23">
        <f>('Modelo AHP'!$U$56*aux!AA17)+('Modelo AHP'!$U$57*aux!AB17)+('Modelo AHP'!$U$58*aux!AC17)+('Modelo AHP'!$U$59*aux!AD17)</f>
        <v>4.3148232686282583E-3</v>
      </c>
      <c r="AJ17" s="25">
        <f>('Modelo AHP'!$U$23*aux!AE17)+('Modelo AHP'!$U$24*aux!AF17)+('Modelo AHP'!$U$25*aux!AG17)+('Modelo AHP'!$U$26*aux!AH17)+('Modelo AHP'!$U$27*aux!AI17)</f>
        <v>6.9211175245994143E-3</v>
      </c>
    </row>
    <row r="18" spans="1:36">
      <c r="A18" s="248">
        <v>98</v>
      </c>
      <c r="B18" s="14" t="s">
        <v>29</v>
      </c>
      <c r="C18" s="15" t="s">
        <v>30</v>
      </c>
      <c r="D18" s="239">
        <v>5.39</v>
      </c>
      <c r="E18" s="240">
        <v>87.03</v>
      </c>
      <c r="F18" s="239">
        <v>24.769610333067266</v>
      </c>
      <c r="G18" s="241">
        <v>36935.286245332303</v>
      </c>
      <c r="H18" s="240">
        <v>6.13</v>
      </c>
      <c r="I18" s="240">
        <v>7.4350000000000005</v>
      </c>
      <c r="J18" s="239">
        <v>3.0468907224793722</v>
      </c>
      <c r="K18" s="116">
        <v>95326.83</v>
      </c>
      <c r="L18" s="112">
        <v>1.3496812800832574E-2</v>
      </c>
      <c r="M18" s="242">
        <v>128</v>
      </c>
      <c r="N18" s="112">
        <v>1.4999999999999999E-2</v>
      </c>
      <c r="O18" s="112">
        <v>2.4E-2</v>
      </c>
      <c r="P18" s="19">
        <f t="shared" si="0"/>
        <v>4.5351283129995762E-3</v>
      </c>
      <c r="Q18" s="19">
        <f t="shared" si="1"/>
        <v>0.99217006161926691</v>
      </c>
      <c r="R18" s="19">
        <f t="shared" si="2"/>
        <v>7.6320773970712892E-3</v>
      </c>
      <c r="S18" s="19">
        <f t="shared" si="3"/>
        <v>5.2127525045138363E-3</v>
      </c>
      <c r="T18" s="19">
        <f t="shared" si="4"/>
        <v>0.99322297709581198</v>
      </c>
      <c r="U18" s="91">
        <f t="shared" si="5"/>
        <v>7.6401767468908628E-3</v>
      </c>
      <c r="V18" s="19">
        <f t="shared" si="6"/>
        <v>6.4825194052579218E-3</v>
      </c>
      <c r="W18" s="19">
        <f t="shared" si="7"/>
        <v>6.3232198669019623E-3</v>
      </c>
      <c r="X18" s="19">
        <f t="shared" si="8"/>
        <v>5.5599311123008767E-3</v>
      </c>
      <c r="Y18" s="19">
        <f t="shared" si="9"/>
        <v>0.99276702415245832</v>
      </c>
      <c r="Z18" s="91">
        <f t="shared" si="10"/>
        <v>7.636669416557368E-3</v>
      </c>
      <c r="AA18" s="19">
        <f t="shared" si="11"/>
        <v>2.7844556792175389E-3</v>
      </c>
      <c r="AB18" s="19">
        <f t="shared" si="12"/>
        <v>1.1652995639230537E-3</v>
      </c>
      <c r="AC18" s="19">
        <f t="shared" si="13"/>
        <v>2.8935185185185188E-3</v>
      </c>
      <c r="AD18" s="19">
        <f t="shared" si="14"/>
        <v>3.8880043591247729E-3</v>
      </c>
      <c r="AE18" s="23">
        <f>('Modelo AHP'!$U$37*aux!P18)+('Modelo AHP'!$U$38*aux!R18)+('Modelo AHP'!$U$39*aux!S18)</f>
        <v>5.2513977363153035E-3</v>
      </c>
      <c r="AF18" s="24">
        <f>aux!U18</f>
        <v>7.6401767468908628E-3</v>
      </c>
      <c r="AG18" s="23">
        <f>('Modelo AHP'!$U$47*aux!V18)+('Modelo AHP'!$U$48*aux!W18)+('Modelo AHP'!$U$49*aux!X18)</f>
        <v>6.0544973917075143E-3</v>
      </c>
      <c r="AH18" s="24">
        <f t="shared" si="15"/>
        <v>7.636669416557368E-3</v>
      </c>
      <c r="AI18" s="23">
        <f>('Modelo AHP'!$U$56*aux!AA18)+('Modelo AHP'!$U$57*aux!AB18)+('Modelo AHP'!$U$58*aux!AC18)+('Modelo AHP'!$U$59*aux!AD18)</f>
        <v>2.1466223173517819E-3</v>
      </c>
      <c r="AJ18" s="25">
        <f>('Modelo AHP'!$U$23*aux!AE18)+('Modelo AHP'!$U$24*aux!AF18)+('Modelo AHP'!$U$25*aux!AG18)+('Modelo AHP'!$U$26*aux!AH18)+('Modelo AHP'!$U$27*aux!AI18)</f>
        <v>6.1850949862622866E-3</v>
      </c>
    </row>
    <row r="19" spans="1:36">
      <c r="A19" s="248">
        <v>100</v>
      </c>
      <c r="B19" s="14" t="s">
        <v>29</v>
      </c>
      <c r="C19" s="15" t="s">
        <v>31</v>
      </c>
      <c r="D19" s="239">
        <v>4.33</v>
      </c>
      <c r="E19" s="240">
        <v>85.45</v>
      </c>
      <c r="F19" s="239">
        <v>25.2453653217012</v>
      </c>
      <c r="G19" s="241">
        <v>46144.621926852698</v>
      </c>
      <c r="H19" s="240">
        <v>6.17</v>
      </c>
      <c r="I19" s="240">
        <v>7.4649999999999999</v>
      </c>
      <c r="J19" s="239">
        <v>3.0468907224793722</v>
      </c>
      <c r="K19" s="116">
        <v>88542.87</v>
      </c>
      <c r="L19" s="112">
        <v>1.3496812800832574E-2</v>
      </c>
      <c r="M19" s="242">
        <v>128</v>
      </c>
      <c r="N19" s="112">
        <v>1.4999999999999999E-2</v>
      </c>
      <c r="O19" s="112">
        <v>2.4E-2</v>
      </c>
      <c r="P19" s="19">
        <f t="shared" si="0"/>
        <v>3.6432477913336116E-3</v>
      </c>
      <c r="Q19" s="19">
        <f t="shared" si="1"/>
        <v>0.99231221148300996</v>
      </c>
      <c r="R19" s="19">
        <f t="shared" si="2"/>
        <v>7.6331708575616197E-3</v>
      </c>
      <c r="S19" s="19">
        <f t="shared" si="3"/>
        <v>5.3128749115759167E-3</v>
      </c>
      <c r="T19" s="19">
        <f t="shared" si="4"/>
        <v>0.99153321412953987</v>
      </c>
      <c r="U19" s="91">
        <f t="shared" si="5"/>
        <v>7.6271785702272318E-3</v>
      </c>
      <c r="V19" s="19">
        <f t="shared" si="6"/>
        <v>6.524819695014907E-3</v>
      </c>
      <c r="W19" s="19">
        <f t="shared" si="7"/>
        <v>6.3487338677099053E-3</v>
      </c>
      <c r="X19" s="19">
        <f t="shared" si="8"/>
        <v>5.5599311123008767E-3</v>
      </c>
      <c r="Y19" s="19">
        <f t="shared" si="9"/>
        <v>0.99328176086226705</v>
      </c>
      <c r="Z19" s="91">
        <f t="shared" si="10"/>
        <v>7.6406289297097432E-3</v>
      </c>
      <c r="AA19" s="19">
        <f t="shared" si="11"/>
        <v>2.7844556792175389E-3</v>
      </c>
      <c r="AB19" s="19">
        <f t="shared" si="12"/>
        <v>1.1652995639230537E-3</v>
      </c>
      <c r="AC19" s="19">
        <f t="shared" si="13"/>
        <v>2.8935185185185188E-3</v>
      </c>
      <c r="AD19" s="19">
        <f t="shared" si="14"/>
        <v>3.8880043591247729E-3</v>
      </c>
      <c r="AE19" s="23">
        <f>('Modelo AHP'!$U$37*aux!P19)+('Modelo AHP'!$U$38*aux!R19)+('Modelo AHP'!$U$39*aux!S19)</f>
        <v>5.0440163701017957E-3</v>
      </c>
      <c r="AF19" s="24">
        <f>aux!U19</f>
        <v>7.6271785702272318E-3</v>
      </c>
      <c r="AG19" s="23">
        <f>('Modelo AHP'!$U$47*aux!V19)+('Modelo AHP'!$U$48*aux!W19)+('Modelo AHP'!$U$49*aux!X19)</f>
        <v>6.072968246189768E-3</v>
      </c>
      <c r="AH19" s="24">
        <f t="shared" si="15"/>
        <v>7.6406289297097432E-3</v>
      </c>
      <c r="AI19" s="23">
        <f>('Modelo AHP'!$U$56*aux!AA19)+('Modelo AHP'!$U$57*aux!AB19)+('Modelo AHP'!$U$58*aux!AC19)+('Modelo AHP'!$U$59*aux!AD19)</f>
        <v>2.1466223173517819E-3</v>
      </c>
      <c r="AJ19" s="25">
        <f>('Modelo AHP'!$U$23*aux!AE19)+('Modelo AHP'!$U$24*aux!AF19)+('Modelo AHP'!$U$25*aux!AG19)+('Modelo AHP'!$U$26*aux!AH19)+('Modelo AHP'!$U$27*aux!AI19)</f>
        <v>6.1529022290682522E-3</v>
      </c>
    </row>
    <row r="20" spans="1:36">
      <c r="A20" s="248">
        <v>119</v>
      </c>
      <c r="B20" s="14" t="s">
        <v>29</v>
      </c>
      <c r="C20" s="15" t="s">
        <v>319</v>
      </c>
      <c r="D20" s="239">
        <v>2.36</v>
      </c>
      <c r="E20" s="240">
        <v>85.49</v>
      </c>
      <c r="F20" s="239">
        <v>19.83888292158969</v>
      </c>
      <c r="G20" s="241">
        <v>59503.240485351089</v>
      </c>
      <c r="H20" s="240">
        <v>4.99</v>
      </c>
      <c r="I20" s="240">
        <v>6.11</v>
      </c>
      <c r="J20" s="239">
        <v>3.0468907224793722</v>
      </c>
      <c r="K20" s="116">
        <v>124302.52</v>
      </c>
      <c r="L20" s="112">
        <v>1.3496812800832574E-2</v>
      </c>
      <c r="M20" s="242">
        <v>128</v>
      </c>
      <c r="N20" s="112">
        <v>1.4999999999999999E-2</v>
      </c>
      <c r="O20" s="112">
        <v>2.4E-2</v>
      </c>
      <c r="P20" s="19">
        <f t="shared" si="0"/>
        <v>1.9856962557846013E-3</v>
      </c>
      <c r="Q20" s="19">
        <f t="shared" si="1"/>
        <v>0.99230861275228222</v>
      </c>
      <c r="R20" s="19">
        <f t="shared" si="2"/>
        <v>7.6331431750175606E-3</v>
      </c>
      <c r="S20" s="19">
        <f t="shared" si="3"/>
        <v>4.1750833075567132E-3</v>
      </c>
      <c r="T20" s="19">
        <f t="shared" si="4"/>
        <v>0.9890821253972657</v>
      </c>
      <c r="U20" s="91">
        <f t="shared" si="5"/>
        <v>7.6083240415174298E-3</v>
      </c>
      <c r="V20" s="19">
        <f t="shared" si="6"/>
        <v>5.2769611471838555E-3</v>
      </c>
      <c r="W20" s="19">
        <f t="shared" si="7"/>
        <v>5.1963514978844638E-3</v>
      </c>
      <c r="X20" s="19">
        <f t="shared" si="8"/>
        <v>5.5599311123008767E-3</v>
      </c>
      <c r="Y20" s="19">
        <f t="shared" si="9"/>
        <v>0.99056847767885958</v>
      </c>
      <c r="Z20" s="91">
        <f t="shared" si="10"/>
        <v>7.6197575206066086E-3</v>
      </c>
      <c r="AA20" s="19">
        <f t="shared" si="11"/>
        <v>2.7844556792175389E-3</v>
      </c>
      <c r="AB20" s="19">
        <f t="shared" si="12"/>
        <v>1.1652995639230537E-3</v>
      </c>
      <c r="AC20" s="19">
        <f t="shared" si="13"/>
        <v>2.8935185185185188E-3</v>
      </c>
      <c r="AD20" s="19">
        <f t="shared" si="14"/>
        <v>3.8880043591247729E-3</v>
      </c>
      <c r="AE20" s="23">
        <f>('Modelo AHP'!$U$37*aux!P20)+('Modelo AHP'!$U$38*aux!R20)+('Modelo AHP'!$U$39*aux!S20)</f>
        <v>3.8640731787711641E-3</v>
      </c>
      <c r="AF20" s="24">
        <f>aux!U20</f>
        <v>7.6083240415174298E-3</v>
      </c>
      <c r="AG20" s="23">
        <f>('Modelo AHP'!$U$47*aux!V20)+('Modelo AHP'!$U$48*aux!W20)+('Modelo AHP'!$U$49*aux!X20)</f>
        <v>5.3508308434517954E-3</v>
      </c>
      <c r="AH20" s="24">
        <f t="shared" si="15"/>
        <v>7.6197575206066086E-3</v>
      </c>
      <c r="AI20" s="23">
        <f>('Modelo AHP'!$U$56*aux!AA20)+('Modelo AHP'!$U$57*aux!AB20)+('Modelo AHP'!$U$58*aux!AC20)+('Modelo AHP'!$U$59*aux!AD20)</f>
        <v>2.1466223173517819E-3</v>
      </c>
      <c r="AJ20" s="25">
        <f>('Modelo AHP'!$U$23*aux!AE20)+('Modelo AHP'!$U$24*aux!AF20)+('Modelo AHP'!$U$25*aux!AG20)+('Modelo AHP'!$U$26*aux!AH20)+('Modelo AHP'!$U$27*aux!AI20)</f>
        <v>5.7015631966431607E-3</v>
      </c>
    </row>
    <row r="21" spans="1:36">
      <c r="A21" s="248">
        <v>102</v>
      </c>
      <c r="B21" s="14" t="s">
        <v>29</v>
      </c>
      <c r="C21" s="15" t="s">
        <v>32</v>
      </c>
      <c r="D21" s="239">
        <v>5.89</v>
      </c>
      <c r="E21" s="240">
        <v>85.39</v>
      </c>
      <c r="F21" s="239">
        <v>22.188449848024316</v>
      </c>
      <c r="G21" s="241">
        <v>46829.309806687961</v>
      </c>
      <c r="H21" s="240">
        <v>5.67</v>
      </c>
      <c r="I21" s="240">
        <v>7.2949999999999999</v>
      </c>
      <c r="J21" s="239">
        <v>3.0468907224793722</v>
      </c>
      <c r="K21" s="116">
        <v>160058.20000000001</v>
      </c>
      <c r="L21" s="112">
        <v>1.3496812800832574E-2</v>
      </c>
      <c r="M21" s="242">
        <v>128</v>
      </c>
      <c r="N21" s="112">
        <v>1.4999999999999999E-2</v>
      </c>
      <c r="O21" s="112">
        <v>2.4E-2</v>
      </c>
      <c r="P21" s="19">
        <f t="shared" si="0"/>
        <v>4.9558266722759753E-3</v>
      </c>
      <c r="Q21" s="19">
        <f t="shared" si="1"/>
        <v>0.99231760957910142</v>
      </c>
      <c r="R21" s="19">
        <f t="shared" si="2"/>
        <v>7.6332123813777084E-3</v>
      </c>
      <c r="S21" s="19">
        <f t="shared" si="3"/>
        <v>4.6695485298837826E-3</v>
      </c>
      <c r="T21" s="19">
        <f t="shared" si="4"/>
        <v>0.9914075850654237</v>
      </c>
      <c r="U21" s="91">
        <f t="shared" si="5"/>
        <v>7.6262121928109532E-3</v>
      </c>
      <c r="V21" s="19">
        <f t="shared" si="6"/>
        <v>5.9960660730525965E-3</v>
      </c>
      <c r="W21" s="19">
        <f t="shared" si="7"/>
        <v>6.2041545297982269E-3</v>
      </c>
      <c r="X21" s="19">
        <f t="shared" si="8"/>
        <v>5.5599311123008767E-3</v>
      </c>
      <c r="Y21" s="19">
        <f t="shared" si="9"/>
        <v>0.98785549572139353</v>
      </c>
      <c r="Z21" s="91">
        <f t="shared" si="10"/>
        <v>7.5988884286261006E-3</v>
      </c>
      <c r="AA21" s="19">
        <f t="shared" si="11"/>
        <v>2.7844556792175389E-3</v>
      </c>
      <c r="AB21" s="19">
        <f t="shared" si="12"/>
        <v>1.1652995639230537E-3</v>
      </c>
      <c r="AC21" s="19">
        <f t="shared" si="13"/>
        <v>2.8935185185185188E-3</v>
      </c>
      <c r="AD21" s="19">
        <f t="shared" si="14"/>
        <v>3.8880043591247729E-3</v>
      </c>
      <c r="AE21" s="23">
        <f>('Modelo AHP'!$U$37*aux!P21)+('Modelo AHP'!$U$38*aux!R21)+('Modelo AHP'!$U$39*aux!S21)</f>
        <v>5.051798357750833E-3</v>
      </c>
      <c r="AF21" s="24">
        <f>aux!U21</f>
        <v>7.6262121928109532E-3</v>
      </c>
      <c r="AG21" s="23">
        <f>('Modelo AHP'!$U$47*aux!V21)+('Modelo AHP'!$U$48*aux!W21)+('Modelo AHP'!$U$49*aux!X21)</f>
        <v>5.9193925121399926E-3</v>
      </c>
      <c r="AH21" s="24">
        <f t="shared" si="15"/>
        <v>7.5988884286261006E-3</v>
      </c>
      <c r="AI21" s="23">
        <f>('Modelo AHP'!$U$56*aux!AA21)+('Modelo AHP'!$U$57*aux!AB21)+('Modelo AHP'!$U$58*aux!AC21)+('Modelo AHP'!$U$59*aux!AD21)</f>
        <v>2.1466223173517819E-3</v>
      </c>
      <c r="AJ21" s="25">
        <f>('Modelo AHP'!$U$23*aux!AE21)+('Modelo AHP'!$U$24*aux!AF21)+('Modelo AHP'!$U$25*aux!AG21)+('Modelo AHP'!$U$26*aux!AH21)+('Modelo AHP'!$U$27*aux!AI21)</f>
        <v>6.0982715087439165E-3</v>
      </c>
    </row>
    <row r="22" spans="1:36">
      <c r="A22" s="248">
        <v>124</v>
      </c>
      <c r="B22" s="14" t="s">
        <v>29</v>
      </c>
      <c r="C22" s="15" t="s">
        <v>320</v>
      </c>
      <c r="D22" s="239">
        <v>4.22</v>
      </c>
      <c r="E22" s="240">
        <v>85.13</v>
      </c>
      <c r="F22" s="239">
        <v>18.288005578800558</v>
      </c>
      <c r="G22" s="241">
        <v>69543.255848425251</v>
      </c>
      <c r="H22" s="240">
        <v>4.09</v>
      </c>
      <c r="I22" s="240">
        <v>5.3249999999999993</v>
      </c>
      <c r="J22" s="239">
        <v>3.0468907224793722</v>
      </c>
      <c r="K22" s="116">
        <v>327167.19</v>
      </c>
      <c r="L22" s="112">
        <v>1.3496812800832574E-2</v>
      </c>
      <c r="M22" s="242">
        <v>128</v>
      </c>
      <c r="N22" s="112">
        <v>1.4999999999999999E-2</v>
      </c>
      <c r="O22" s="112">
        <v>2.4E-2</v>
      </c>
      <c r="P22" s="19">
        <f t="shared" si="0"/>
        <v>3.5506941522928039E-3</v>
      </c>
      <c r="Q22" s="19">
        <f t="shared" si="1"/>
        <v>0.9923410013288313</v>
      </c>
      <c r="R22" s="19">
        <f t="shared" si="2"/>
        <v>7.6333923179140919E-3</v>
      </c>
      <c r="S22" s="19">
        <f t="shared" si="3"/>
        <v>3.8487019214908506E-3</v>
      </c>
      <c r="T22" s="19">
        <f t="shared" si="4"/>
        <v>0.98723994625123157</v>
      </c>
      <c r="U22" s="91">
        <f t="shared" si="5"/>
        <v>7.5941534327017826E-3</v>
      </c>
      <c r="V22" s="19">
        <f t="shared" si="6"/>
        <v>4.3252046276516963E-3</v>
      </c>
      <c r="W22" s="19">
        <f t="shared" si="7"/>
        <v>4.5287351434099453E-3</v>
      </c>
      <c r="X22" s="19">
        <f t="shared" si="8"/>
        <v>5.5599311123008767E-3</v>
      </c>
      <c r="Y22" s="19">
        <f t="shared" si="9"/>
        <v>0.97517600885943578</v>
      </c>
      <c r="Z22" s="91">
        <f t="shared" si="10"/>
        <v>7.5013539143033488E-3</v>
      </c>
      <c r="AA22" s="19">
        <f t="shared" si="11"/>
        <v>2.7844556792175389E-3</v>
      </c>
      <c r="AB22" s="19">
        <f t="shared" si="12"/>
        <v>1.1652995639230537E-3</v>
      </c>
      <c r="AC22" s="19">
        <f t="shared" si="13"/>
        <v>2.8935185185185188E-3</v>
      </c>
      <c r="AD22" s="19">
        <f t="shared" si="14"/>
        <v>3.8880043591247729E-3</v>
      </c>
      <c r="AE22" s="23">
        <f>('Modelo AHP'!$U$37*aux!P22)+('Modelo AHP'!$U$38*aux!R22)+('Modelo AHP'!$U$39*aux!S22)</f>
        <v>4.1377686303737601E-3</v>
      </c>
      <c r="AF22" s="24">
        <f>aux!U22</f>
        <v>7.5941534327017826E-3</v>
      </c>
      <c r="AG22" s="23">
        <f>('Modelo AHP'!$U$47*aux!V22)+('Modelo AHP'!$U$48*aux!W22)+('Modelo AHP'!$U$49*aux!X22)</f>
        <v>4.8937532314175351E-3</v>
      </c>
      <c r="AH22" s="24">
        <f t="shared" si="15"/>
        <v>7.5013539143033488E-3</v>
      </c>
      <c r="AI22" s="23">
        <f>('Modelo AHP'!$U$56*aux!AA22)+('Modelo AHP'!$U$57*aux!AB22)+('Modelo AHP'!$U$58*aux!AC22)+('Modelo AHP'!$U$59*aux!AD22)</f>
        <v>2.1466223173517819E-3</v>
      </c>
      <c r="AJ22" s="25">
        <f>('Modelo AHP'!$U$23*aux!AE22)+('Modelo AHP'!$U$24*aux!AF22)+('Modelo AHP'!$U$25*aux!AG22)+('Modelo AHP'!$U$26*aux!AH22)+('Modelo AHP'!$U$27*aux!AI22)</f>
        <v>5.577573739687639E-3</v>
      </c>
    </row>
    <row r="23" spans="1:36">
      <c r="A23" s="248">
        <v>128</v>
      </c>
      <c r="B23" s="14" t="s">
        <v>29</v>
      </c>
      <c r="C23" s="15" t="s">
        <v>33</v>
      </c>
      <c r="D23" s="239">
        <v>2.72</v>
      </c>
      <c r="E23" s="240">
        <v>85.2</v>
      </c>
      <c r="F23" s="239">
        <v>15.199455643446457</v>
      </c>
      <c r="G23" s="241">
        <v>68049.083003506137</v>
      </c>
      <c r="H23" s="240">
        <v>4.2300000000000004</v>
      </c>
      <c r="I23" s="240">
        <v>5.3949999999999996</v>
      </c>
      <c r="J23" s="239">
        <v>3.0468907224793722</v>
      </c>
      <c r="K23" s="116">
        <v>205078.82</v>
      </c>
      <c r="L23" s="112">
        <v>1.3496812800832574E-2</v>
      </c>
      <c r="M23" s="242">
        <v>128</v>
      </c>
      <c r="N23" s="112">
        <v>1.4999999999999999E-2</v>
      </c>
      <c r="O23" s="112">
        <v>2.4E-2</v>
      </c>
      <c r="P23" s="19">
        <f t="shared" si="0"/>
        <v>2.2885990744636086E-3</v>
      </c>
      <c r="Q23" s="19">
        <f t="shared" si="1"/>
        <v>0.99233470355005793</v>
      </c>
      <c r="R23" s="19">
        <f t="shared" si="2"/>
        <v>7.6333438734619893E-3</v>
      </c>
      <c r="S23" s="19">
        <f t="shared" si="3"/>
        <v>3.1987180826518542E-3</v>
      </c>
      <c r="T23" s="19">
        <f t="shared" si="4"/>
        <v>0.98751410261015549</v>
      </c>
      <c r="U23" s="91">
        <f t="shared" si="5"/>
        <v>7.5962623277704283E-3</v>
      </c>
      <c r="V23" s="19">
        <f t="shared" si="6"/>
        <v>4.4732556418011441E-3</v>
      </c>
      <c r="W23" s="19">
        <f t="shared" si="7"/>
        <v>4.5882678119618138E-3</v>
      </c>
      <c r="X23" s="19">
        <f t="shared" si="8"/>
        <v>5.5599311123008767E-3</v>
      </c>
      <c r="Y23" s="19">
        <f t="shared" si="9"/>
        <v>0.98443953132709505</v>
      </c>
      <c r="Z23" s="91">
        <f t="shared" si="10"/>
        <v>7.5726117794391893E-3</v>
      </c>
      <c r="AA23" s="19">
        <f t="shared" si="11"/>
        <v>2.7844556792175389E-3</v>
      </c>
      <c r="AB23" s="19">
        <f t="shared" si="12"/>
        <v>1.1652995639230537E-3</v>
      </c>
      <c r="AC23" s="19">
        <f t="shared" si="13"/>
        <v>2.8935185185185188E-3</v>
      </c>
      <c r="AD23" s="19">
        <f t="shared" si="14"/>
        <v>3.8880043591247729E-3</v>
      </c>
      <c r="AE23" s="23">
        <f>('Modelo AHP'!$U$37*aux!P23)+('Modelo AHP'!$U$38*aux!R23)+('Modelo AHP'!$U$39*aux!S23)</f>
        <v>3.3691449592763937E-3</v>
      </c>
      <c r="AF23" s="24">
        <f>aux!U23</f>
        <v>7.5962623277704283E-3</v>
      </c>
      <c r="AG23" s="23">
        <f>('Modelo AHP'!$U$47*aux!V23)+('Modelo AHP'!$U$48*aux!W23)+('Modelo AHP'!$U$49*aux!X23)</f>
        <v>4.9452019628652109E-3</v>
      </c>
      <c r="AH23" s="24">
        <f t="shared" si="15"/>
        <v>7.5726117794391893E-3</v>
      </c>
      <c r="AI23" s="23">
        <f>('Modelo AHP'!$U$56*aux!AA23)+('Modelo AHP'!$U$57*aux!AB23)+('Modelo AHP'!$U$58*aux!AC23)+('Modelo AHP'!$U$59*aux!AD23)</f>
        <v>2.1466223173517819E-3</v>
      </c>
      <c r="AJ23" s="25">
        <f>('Modelo AHP'!$U$23*aux!AE23)+('Modelo AHP'!$U$24*aux!AF23)+('Modelo AHP'!$U$25*aux!AG23)+('Modelo AHP'!$U$26*aux!AH23)+('Modelo AHP'!$U$27*aux!AI23)</f>
        <v>5.4729188874173135E-3</v>
      </c>
    </row>
    <row r="24" spans="1:36">
      <c r="A24" s="248">
        <v>129</v>
      </c>
      <c r="B24" s="14" t="s">
        <v>34</v>
      </c>
      <c r="C24" s="15" t="s">
        <v>35</v>
      </c>
      <c r="D24" s="239">
        <v>7.98</v>
      </c>
      <c r="E24" s="240">
        <v>85.89</v>
      </c>
      <c r="F24" s="239">
        <v>14.205950386854909</v>
      </c>
      <c r="G24" s="241">
        <v>79736.559682901207</v>
      </c>
      <c r="H24" s="240">
        <v>3.31</v>
      </c>
      <c r="I24" s="240">
        <v>4.5449999999999999</v>
      </c>
      <c r="J24" s="239">
        <v>2.5515857253360652</v>
      </c>
      <c r="K24" s="116">
        <v>258711.98</v>
      </c>
      <c r="L24" s="112">
        <v>2.7153209406238363E-2</v>
      </c>
      <c r="M24" s="242">
        <v>128</v>
      </c>
      <c r="N24" s="112">
        <v>1.9E-2</v>
      </c>
      <c r="O24" s="112">
        <v>2.5000000000000001E-2</v>
      </c>
      <c r="P24" s="19">
        <f t="shared" si="0"/>
        <v>6.714345814051322E-3</v>
      </c>
      <c r="Q24" s="19">
        <f t="shared" si="1"/>
        <v>0.9922726254450055</v>
      </c>
      <c r="R24" s="19">
        <f t="shared" si="2"/>
        <v>7.6328663495769701E-3</v>
      </c>
      <c r="S24" s="19">
        <f t="shared" si="3"/>
        <v>2.989635382322432E-3</v>
      </c>
      <c r="T24" s="19">
        <f t="shared" si="4"/>
        <v>0.98536964116961545</v>
      </c>
      <c r="U24" s="91">
        <f t="shared" si="5"/>
        <v>7.5797664705355055E-3</v>
      </c>
      <c r="V24" s="19">
        <f t="shared" si="6"/>
        <v>3.5003489773904931E-3</v>
      </c>
      <c r="W24" s="19">
        <f t="shared" si="7"/>
        <v>3.8653711224034188E-3</v>
      </c>
      <c r="X24" s="19">
        <f t="shared" si="8"/>
        <v>4.6561042558344772E-3</v>
      </c>
      <c r="Y24" s="19">
        <f t="shared" si="9"/>
        <v>0.98037008570609474</v>
      </c>
      <c r="Z24" s="91">
        <f t="shared" si="10"/>
        <v>7.5413083515853407E-3</v>
      </c>
      <c r="AA24" s="19">
        <f t="shared" si="11"/>
        <v>5.6018342445647287E-3</v>
      </c>
      <c r="AB24" s="19">
        <f t="shared" si="12"/>
        <v>1.1652995639230537E-3</v>
      </c>
      <c r="AC24" s="19">
        <f t="shared" si="13"/>
        <v>3.6651234567901237E-3</v>
      </c>
      <c r="AD24" s="19">
        <f t="shared" si="14"/>
        <v>4.0500045407549723E-3</v>
      </c>
      <c r="AE24" s="23">
        <f>('Modelo AHP'!$U$37*aux!P24)+('Modelo AHP'!$U$38*aux!R24)+('Modelo AHP'!$U$39*aux!S24)</f>
        <v>4.5713716085665525E-3</v>
      </c>
      <c r="AF24" s="24">
        <f>aux!U24</f>
        <v>7.5797664705355055E-3</v>
      </c>
      <c r="AG24" s="23">
        <f>('Modelo AHP'!$U$47*aux!V24)+('Modelo AHP'!$U$48*aux!W24)+('Modelo AHP'!$U$49*aux!X24)</f>
        <v>4.1099165152253874E-3</v>
      </c>
      <c r="AH24" s="24">
        <f t="shared" si="15"/>
        <v>7.5413083515853407E-3</v>
      </c>
      <c r="AI24" s="23">
        <f>('Modelo AHP'!$U$56*aux!AA24)+('Modelo AHP'!$U$57*aux!AB24)+('Modelo AHP'!$U$58*aux!AC24)+('Modelo AHP'!$U$59*aux!AD24)</f>
        <v>2.7977118641345118E-3</v>
      </c>
      <c r="AJ24" s="25">
        <f>('Modelo AHP'!$U$23*aux!AE24)+('Modelo AHP'!$U$24*aux!AF24)+('Modelo AHP'!$U$25*aux!AG24)+('Modelo AHP'!$U$26*aux!AH24)+('Modelo AHP'!$U$27*aux!AI24)</f>
        <v>5.4413936828231896E-3</v>
      </c>
    </row>
    <row r="25" spans="1:36">
      <c r="A25" s="248">
        <v>112</v>
      </c>
      <c r="B25" s="14" t="s">
        <v>34</v>
      </c>
      <c r="C25" s="15" t="s">
        <v>36</v>
      </c>
      <c r="D25" s="239">
        <v>7.29</v>
      </c>
      <c r="E25" s="240">
        <v>85.62</v>
      </c>
      <c r="F25" s="239">
        <v>19.233158047285826</v>
      </c>
      <c r="G25" s="241">
        <v>50739.084967341667</v>
      </c>
      <c r="H25" s="240">
        <v>4.7699999999999996</v>
      </c>
      <c r="I25" s="240">
        <v>6.4350000000000005</v>
      </c>
      <c r="J25" s="239">
        <v>2.5515857253360652</v>
      </c>
      <c r="K25" s="116">
        <v>156823.97</v>
      </c>
      <c r="L25" s="112">
        <v>2.7153209406238363E-2</v>
      </c>
      <c r="M25" s="242">
        <v>128</v>
      </c>
      <c r="N25" s="112">
        <v>1.9E-2</v>
      </c>
      <c r="O25" s="112">
        <v>2.5000000000000001E-2</v>
      </c>
      <c r="P25" s="19">
        <f t="shared" si="0"/>
        <v>6.1337820782498918E-3</v>
      </c>
      <c r="Q25" s="19">
        <f t="shared" si="1"/>
        <v>0.99229691687741728</v>
      </c>
      <c r="R25" s="19">
        <f t="shared" si="2"/>
        <v>7.6330532067493684E-3</v>
      </c>
      <c r="S25" s="19">
        <f t="shared" si="3"/>
        <v>4.0476088009691567E-3</v>
      </c>
      <c r="T25" s="19">
        <f t="shared" si="4"/>
        <v>0.99069020506089422</v>
      </c>
      <c r="U25" s="91">
        <f t="shared" si="5"/>
        <v>7.6206938850838036E-3</v>
      </c>
      <c r="V25" s="19">
        <f t="shared" si="6"/>
        <v>5.0443095535204381E-3</v>
      </c>
      <c r="W25" s="19">
        <f t="shared" si="7"/>
        <v>5.4727531733038508E-3</v>
      </c>
      <c r="X25" s="19">
        <f t="shared" si="8"/>
        <v>4.6561042558344772E-3</v>
      </c>
      <c r="Y25" s="19">
        <f t="shared" si="9"/>
        <v>0.98810089470796847</v>
      </c>
      <c r="Z25" s="91">
        <f t="shared" si="10"/>
        <v>7.6007761131382159E-3</v>
      </c>
      <c r="AA25" s="19">
        <f t="shared" si="11"/>
        <v>5.6018342445647287E-3</v>
      </c>
      <c r="AB25" s="19">
        <f t="shared" si="12"/>
        <v>1.1652995639230537E-3</v>
      </c>
      <c r="AC25" s="19">
        <f t="shared" si="13"/>
        <v>3.6651234567901237E-3</v>
      </c>
      <c r="AD25" s="19">
        <f t="shared" si="14"/>
        <v>4.0500045407549723E-3</v>
      </c>
      <c r="AE25" s="23">
        <f>('Modelo AHP'!$U$37*aux!P25)+('Modelo AHP'!$U$38*aux!R25)+('Modelo AHP'!$U$39*aux!S25)</f>
        <v>5.0320052247313975E-3</v>
      </c>
      <c r="AF25" s="24">
        <f>aux!U25</f>
        <v>7.6206938850838036E-3</v>
      </c>
      <c r="AG25" s="23">
        <f>('Modelo AHP'!$U$47*aux!V25)+('Modelo AHP'!$U$48*aux!W25)+('Modelo AHP'!$U$49*aux!X25)</f>
        <v>5.0839144494268561E-3</v>
      </c>
      <c r="AH25" s="24">
        <f t="shared" si="15"/>
        <v>7.6007761131382159E-3</v>
      </c>
      <c r="AI25" s="23">
        <f>('Modelo AHP'!$U$56*aux!AA25)+('Modelo AHP'!$U$57*aux!AB25)+('Modelo AHP'!$U$58*aux!AC25)+('Modelo AHP'!$U$59*aux!AD25)</f>
        <v>2.7977118641345118E-3</v>
      </c>
      <c r="AJ25" s="25">
        <f>('Modelo AHP'!$U$23*aux!AE25)+('Modelo AHP'!$U$24*aux!AF25)+('Modelo AHP'!$U$25*aux!AG25)+('Modelo AHP'!$U$26*aux!AH25)+('Modelo AHP'!$U$27*aux!AI25)</f>
        <v>5.8687797066534573E-3</v>
      </c>
    </row>
    <row r="26" spans="1:36">
      <c r="A26" s="248">
        <v>92</v>
      </c>
      <c r="B26" s="14" t="s">
        <v>34</v>
      </c>
      <c r="C26" s="15" t="s">
        <v>37</v>
      </c>
      <c r="D26" s="239">
        <v>6.62</v>
      </c>
      <c r="E26" s="240">
        <v>85.68</v>
      </c>
      <c r="F26" s="239">
        <v>24.537707958958901</v>
      </c>
      <c r="G26" s="241">
        <v>41675.788313774166</v>
      </c>
      <c r="H26" s="240">
        <v>6.04</v>
      </c>
      <c r="I26" s="240">
        <v>8.120000000000001</v>
      </c>
      <c r="J26" s="239">
        <v>2.5515857253360652</v>
      </c>
      <c r="K26" s="116">
        <v>109638.43</v>
      </c>
      <c r="L26" s="112">
        <v>2.7153209406238363E-2</v>
      </c>
      <c r="M26" s="242">
        <v>128</v>
      </c>
      <c r="N26" s="112">
        <v>1.9E-2</v>
      </c>
      <c r="O26" s="112">
        <v>2.5000000000000001E-2</v>
      </c>
      <c r="P26" s="19">
        <f t="shared" si="0"/>
        <v>5.5700462768195173E-3</v>
      </c>
      <c r="Q26" s="19">
        <f t="shared" si="1"/>
        <v>0.99229151878132582</v>
      </c>
      <c r="R26" s="19">
        <f t="shared" si="2"/>
        <v>7.6330116829332805E-3</v>
      </c>
      <c r="S26" s="19">
        <f t="shared" si="3"/>
        <v>5.163948762138354E-3</v>
      </c>
      <c r="T26" s="19">
        <f t="shared" si="4"/>
        <v>0.99235317224627617</v>
      </c>
      <c r="U26" s="91">
        <f t="shared" si="5"/>
        <v>7.6334859403559725E-3</v>
      </c>
      <c r="V26" s="19">
        <f t="shared" si="6"/>
        <v>6.3873437533047061E-3</v>
      </c>
      <c r="W26" s="19">
        <f t="shared" si="7"/>
        <v>6.9057895520166701E-3</v>
      </c>
      <c r="X26" s="19">
        <f t="shared" si="8"/>
        <v>4.6561042558344772E-3</v>
      </c>
      <c r="Y26" s="19">
        <f t="shared" si="9"/>
        <v>0.99168112360232286</v>
      </c>
      <c r="Z26" s="91">
        <f t="shared" si="10"/>
        <v>7.6283163354024805E-3</v>
      </c>
      <c r="AA26" s="19">
        <f t="shared" si="11"/>
        <v>5.6018342445647287E-3</v>
      </c>
      <c r="AB26" s="19">
        <f t="shared" si="12"/>
        <v>1.1652995639230537E-3</v>
      </c>
      <c r="AC26" s="19">
        <f t="shared" si="13"/>
        <v>3.6651234567901237E-3</v>
      </c>
      <c r="AD26" s="19">
        <f t="shared" si="14"/>
        <v>4.0500045407549723E-3</v>
      </c>
      <c r="AE26" s="23">
        <f>('Modelo AHP'!$U$37*aux!P26)+('Modelo AHP'!$U$38*aux!R26)+('Modelo AHP'!$U$39*aux!S26)</f>
        <v>5.532684308622195E-3</v>
      </c>
      <c r="AF26" s="24">
        <f>aux!U26</f>
        <v>7.6334859403559725E-3</v>
      </c>
      <c r="AG26" s="23">
        <f>('Modelo AHP'!$U$47*aux!V26)+('Modelo AHP'!$U$48*aux!W26)+('Modelo AHP'!$U$49*aux!X26)</f>
        <v>5.9466057190515169E-3</v>
      </c>
      <c r="AH26" s="24">
        <f t="shared" si="15"/>
        <v>7.6283163354024805E-3</v>
      </c>
      <c r="AI26" s="23">
        <f>('Modelo AHP'!$U$56*aux!AA26)+('Modelo AHP'!$U$57*aux!AB26)+('Modelo AHP'!$U$58*aux!AC26)+('Modelo AHP'!$U$59*aux!AD26)</f>
        <v>2.7977118641345118E-3</v>
      </c>
      <c r="AJ26" s="25">
        <f>('Modelo AHP'!$U$23*aux!AE26)+('Modelo AHP'!$U$24*aux!AF26)+('Modelo AHP'!$U$25*aux!AG26)+('Modelo AHP'!$U$26*aux!AH26)+('Modelo AHP'!$U$27*aux!AI26)</f>
        <v>6.2533359583339171E-3</v>
      </c>
    </row>
    <row r="27" spans="1:36">
      <c r="A27" s="248">
        <v>105</v>
      </c>
      <c r="B27" s="14" t="s">
        <v>34</v>
      </c>
      <c r="C27" s="15" t="s">
        <v>38</v>
      </c>
      <c r="D27" s="239">
        <v>6.34</v>
      </c>
      <c r="E27" s="240">
        <v>85.05</v>
      </c>
      <c r="F27" s="239">
        <v>20.692939635670914</v>
      </c>
      <c r="G27" s="241">
        <v>46915.951826041404</v>
      </c>
      <c r="H27" s="240">
        <v>5.56</v>
      </c>
      <c r="I27" s="240">
        <v>7.4499999999999993</v>
      </c>
      <c r="J27" s="239">
        <v>2.5515857253360652</v>
      </c>
      <c r="K27" s="116">
        <v>114653.63</v>
      </c>
      <c r="L27" s="112">
        <v>2.7153209406238363E-2</v>
      </c>
      <c r="M27" s="242">
        <v>128</v>
      </c>
      <c r="N27" s="112">
        <v>1.9E-2</v>
      </c>
      <c r="O27" s="112">
        <v>2.5000000000000001E-2</v>
      </c>
      <c r="P27" s="19">
        <f t="shared" si="0"/>
        <v>5.3344551956247335E-3</v>
      </c>
      <c r="Q27" s="19">
        <f t="shared" si="1"/>
        <v>0.99234819879028668</v>
      </c>
      <c r="R27" s="19">
        <f t="shared" si="2"/>
        <v>7.6334476830022101E-3</v>
      </c>
      <c r="S27" s="19">
        <f t="shared" si="3"/>
        <v>4.3548191296168765E-3</v>
      </c>
      <c r="T27" s="19">
        <f t="shared" si="4"/>
        <v>0.99139168766731711</v>
      </c>
      <c r="U27" s="91">
        <f t="shared" si="5"/>
        <v>7.6260899051332105E-3</v>
      </c>
      <c r="V27" s="19">
        <f t="shared" si="6"/>
        <v>5.8797402762208878E-3</v>
      </c>
      <c r="W27" s="19">
        <f t="shared" si="7"/>
        <v>6.3359768673059329E-3</v>
      </c>
      <c r="X27" s="19">
        <f t="shared" si="8"/>
        <v>4.6561042558344772E-3</v>
      </c>
      <c r="Y27" s="19">
        <f t="shared" si="9"/>
        <v>0.99130059253388603</v>
      </c>
      <c r="Z27" s="91">
        <f t="shared" si="10"/>
        <v>7.6253891733375819E-3</v>
      </c>
      <c r="AA27" s="19">
        <f t="shared" si="11"/>
        <v>5.6018342445647287E-3</v>
      </c>
      <c r="AB27" s="19">
        <f t="shared" si="12"/>
        <v>1.1652995639230537E-3</v>
      </c>
      <c r="AC27" s="19">
        <f t="shared" si="13"/>
        <v>3.6651234567901237E-3</v>
      </c>
      <c r="AD27" s="19">
        <f t="shared" si="14"/>
        <v>4.0500045407549723E-3</v>
      </c>
      <c r="AE27" s="23">
        <f>('Modelo AHP'!$U$37*aux!P27)+('Modelo AHP'!$U$38*aux!R27)+('Modelo AHP'!$U$39*aux!S27)</f>
        <v>4.9765728047577677E-3</v>
      </c>
      <c r="AF27" s="24">
        <f>aux!U27</f>
        <v>7.6260899051332105E-3</v>
      </c>
      <c r="AG27" s="23">
        <f>('Modelo AHP'!$U$47*aux!V27)+('Modelo AHP'!$U$48*aux!W27)+('Modelo AHP'!$U$49*aux!X27)</f>
        <v>5.6080477405654108E-3</v>
      </c>
      <c r="AH27" s="24">
        <f t="shared" si="15"/>
        <v>7.6253891733375819E-3</v>
      </c>
      <c r="AI27" s="23">
        <f>('Modelo AHP'!$U$56*aux!AA27)+('Modelo AHP'!$U$57*aux!AB27)+('Modelo AHP'!$U$58*aux!AC27)+('Modelo AHP'!$U$59*aux!AD27)</f>
        <v>2.7977118641345118E-3</v>
      </c>
      <c r="AJ27" s="25">
        <f>('Modelo AHP'!$U$23*aux!AE27)+('Modelo AHP'!$U$24*aux!AF27)+('Modelo AHP'!$U$25*aux!AG27)+('Modelo AHP'!$U$26*aux!AH27)+('Modelo AHP'!$U$27*aux!AI27)</f>
        <v>6.042229267101005E-3</v>
      </c>
    </row>
    <row r="28" spans="1:36">
      <c r="A28" s="248">
        <v>109</v>
      </c>
      <c r="B28" s="14" t="s">
        <v>34</v>
      </c>
      <c r="C28" s="15" t="s">
        <v>39</v>
      </c>
      <c r="D28" s="239">
        <v>7.42</v>
      </c>
      <c r="E28" s="240">
        <v>85.99</v>
      </c>
      <c r="F28" s="239">
        <v>18.543007261349548</v>
      </c>
      <c r="G28" s="241">
        <v>49641.190872657826</v>
      </c>
      <c r="H28" s="240">
        <v>4.83</v>
      </c>
      <c r="I28" s="240">
        <v>6.96</v>
      </c>
      <c r="J28" s="239">
        <v>2.5515857253360652</v>
      </c>
      <c r="K28" s="116">
        <v>152272.01</v>
      </c>
      <c r="L28" s="112">
        <v>2.7153209406238363E-2</v>
      </c>
      <c r="M28" s="242">
        <v>128</v>
      </c>
      <c r="N28" s="112">
        <v>1.9E-2</v>
      </c>
      <c r="O28" s="112">
        <v>2.5000000000000001E-2</v>
      </c>
      <c r="P28" s="19">
        <f t="shared" si="0"/>
        <v>6.2431636516617553E-3</v>
      </c>
      <c r="Q28" s="19">
        <f t="shared" si="1"/>
        <v>0.9922636286181864</v>
      </c>
      <c r="R28" s="19">
        <f t="shared" si="2"/>
        <v>7.6327971432168231E-3</v>
      </c>
      <c r="S28" s="19">
        <f t="shared" si="3"/>
        <v>3.9023669021461148E-3</v>
      </c>
      <c r="T28" s="19">
        <f t="shared" si="4"/>
        <v>0.99089165072931606</v>
      </c>
      <c r="U28" s="91">
        <f t="shared" si="5"/>
        <v>7.6222434671485871E-3</v>
      </c>
      <c r="V28" s="19">
        <f t="shared" si="6"/>
        <v>5.1077599881559155E-3</v>
      </c>
      <c r="W28" s="19">
        <f t="shared" si="7"/>
        <v>5.9192481874428592E-3</v>
      </c>
      <c r="X28" s="19">
        <f t="shared" si="8"/>
        <v>4.6561042558344772E-3</v>
      </c>
      <c r="Y28" s="19">
        <f t="shared" si="9"/>
        <v>0.98844627718569245</v>
      </c>
      <c r="Z28" s="91">
        <f t="shared" si="10"/>
        <v>7.6034329014284001E-3</v>
      </c>
      <c r="AA28" s="19">
        <f t="shared" si="11"/>
        <v>5.6018342445647287E-3</v>
      </c>
      <c r="AB28" s="19">
        <f t="shared" si="12"/>
        <v>1.1652995639230537E-3</v>
      </c>
      <c r="AC28" s="19">
        <f t="shared" si="13"/>
        <v>3.6651234567901237E-3</v>
      </c>
      <c r="AD28" s="19">
        <f t="shared" si="14"/>
        <v>4.0500045407549723E-3</v>
      </c>
      <c r="AE28" s="23">
        <f>('Modelo AHP'!$U$37*aux!P28)+('Modelo AHP'!$U$38*aux!R28)+('Modelo AHP'!$U$39*aux!S28)</f>
        <v>4.9776489511078777E-3</v>
      </c>
      <c r="AF28" s="24">
        <f>aux!U28</f>
        <v>7.6222434671485871E-3</v>
      </c>
      <c r="AG28" s="23">
        <f>('Modelo AHP'!$U$47*aux!V28)+('Modelo AHP'!$U$48*aux!W28)+('Modelo AHP'!$U$49*aux!X28)</f>
        <v>5.2926391435874787E-3</v>
      </c>
      <c r="AH28" s="24">
        <f t="shared" si="15"/>
        <v>7.6034329014284001E-3</v>
      </c>
      <c r="AI28" s="23">
        <f>('Modelo AHP'!$U$56*aux!AA28)+('Modelo AHP'!$U$57*aux!AB28)+('Modelo AHP'!$U$58*aux!AC28)+('Modelo AHP'!$U$59*aux!AD28)</f>
        <v>2.7977118641345118E-3</v>
      </c>
      <c r="AJ28" s="25">
        <f>('Modelo AHP'!$U$23*aux!AE28)+('Modelo AHP'!$U$24*aux!AF28)+('Modelo AHP'!$U$25*aux!AG28)+('Modelo AHP'!$U$26*aux!AH28)+('Modelo AHP'!$U$27*aux!AI28)</f>
        <v>5.9317346459209427E-3</v>
      </c>
    </row>
    <row r="29" spans="1:36">
      <c r="A29" s="248">
        <v>123</v>
      </c>
      <c r="B29" s="14" t="s">
        <v>34</v>
      </c>
      <c r="C29" s="15" t="s">
        <v>40</v>
      </c>
      <c r="D29" s="239">
        <v>8.32</v>
      </c>
      <c r="E29" s="240">
        <v>86.82</v>
      </c>
      <c r="F29" s="239">
        <v>15.909427260618617</v>
      </c>
      <c r="G29" s="241">
        <v>72528.93424364175</v>
      </c>
      <c r="H29" s="240">
        <v>3.6</v>
      </c>
      <c r="I29" s="240">
        <v>5.415</v>
      </c>
      <c r="J29" s="239">
        <v>2.5515857253360652</v>
      </c>
      <c r="K29" s="116">
        <v>260293.34</v>
      </c>
      <c r="L29" s="112">
        <v>2.7153209406238402E-2</v>
      </c>
      <c r="M29" s="242">
        <v>128</v>
      </c>
      <c r="N29" s="112">
        <v>1.9E-2</v>
      </c>
      <c r="O29" s="112">
        <v>2.5000000000000001E-2</v>
      </c>
      <c r="P29" s="19">
        <f t="shared" si="0"/>
        <v>7.0004206983592726E-3</v>
      </c>
      <c r="Q29" s="19">
        <f t="shared" si="1"/>
        <v>0.99218895495558712</v>
      </c>
      <c r="R29" s="19">
        <f t="shared" si="2"/>
        <v>7.6322227304275979E-3</v>
      </c>
      <c r="S29" s="19">
        <f t="shared" si="3"/>
        <v>3.3481312658139336E-3</v>
      </c>
      <c r="T29" s="19">
        <f t="shared" si="4"/>
        <v>0.98669212293846431</v>
      </c>
      <c r="U29" s="91">
        <f t="shared" si="5"/>
        <v>7.5899394072189577E-3</v>
      </c>
      <c r="V29" s="19">
        <f t="shared" si="6"/>
        <v>3.8070260781286332E-3</v>
      </c>
      <c r="W29" s="19">
        <f t="shared" si="7"/>
        <v>4.6052771458337761E-3</v>
      </c>
      <c r="X29" s="19">
        <f t="shared" si="8"/>
        <v>4.6561042558344772E-3</v>
      </c>
      <c r="Y29" s="19">
        <f t="shared" si="9"/>
        <v>0.98025009914316941</v>
      </c>
      <c r="Z29" s="91">
        <f t="shared" si="10"/>
        <v>7.5403853780243767E-3</v>
      </c>
      <c r="AA29" s="19">
        <f t="shared" si="11"/>
        <v>5.6018342445647365E-3</v>
      </c>
      <c r="AB29" s="19">
        <f t="shared" si="12"/>
        <v>1.1652995639230537E-3</v>
      </c>
      <c r="AC29" s="19">
        <f t="shared" si="13"/>
        <v>3.6651234567901237E-3</v>
      </c>
      <c r="AD29" s="19">
        <f t="shared" si="14"/>
        <v>4.0500045407549723E-3</v>
      </c>
      <c r="AE29" s="23">
        <f>('Modelo AHP'!$U$37*aux!P29)+('Modelo AHP'!$U$38*aux!R29)+('Modelo AHP'!$U$39*aux!S29)</f>
        <v>4.8722272420389017E-3</v>
      </c>
      <c r="AF29" s="24">
        <f>aux!U29</f>
        <v>7.5899394072189577E-3</v>
      </c>
      <c r="AG29" s="23">
        <f>('Modelo AHP'!$U$47*aux!V29)+('Modelo AHP'!$U$48*aux!W29)+('Modelo AHP'!$U$49*aux!X29)</f>
        <v>4.4899021146286066E-3</v>
      </c>
      <c r="AH29" s="24">
        <f t="shared" si="15"/>
        <v>7.5403853780243767E-3</v>
      </c>
      <c r="AI29" s="23">
        <f>('Modelo AHP'!$U$56*aux!AA29)+('Modelo AHP'!$U$57*aux!AB29)+('Modelo AHP'!$U$58*aux!AC29)+('Modelo AHP'!$U$59*aux!AD29)</f>
        <v>2.7977118641345127E-3</v>
      </c>
      <c r="AJ29" s="25">
        <f>('Modelo AHP'!$U$23*aux!AE29)+('Modelo AHP'!$U$24*aux!AF29)+('Modelo AHP'!$U$25*aux!AG29)+('Modelo AHP'!$U$26*aux!AH29)+('Modelo AHP'!$U$27*aux!AI29)</f>
        <v>5.6246654321220335E-3</v>
      </c>
    </row>
    <row r="30" spans="1:36">
      <c r="A30" s="248">
        <v>131</v>
      </c>
      <c r="B30" s="14" t="s">
        <v>41</v>
      </c>
      <c r="C30" s="15" t="s">
        <v>42</v>
      </c>
      <c r="D30" s="239">
        <v>6.2</v>
      </c>
      <c r="E30" s="240">
        <v>86.4</v>
      </c>
      <c r="F30" s="239">
        <v>16.052830188679245</v>
      </c>
      <c r="G30" s="241">
        <v>88193.871439463444</v>
      </c>
      <c r="H30" s="240">
        <v>3.06</v>
      </c>
      <c r="I30" s="240">
        <v>4.28</v>
      </c>
      <c r="J30" s="239">
        <v>2.5063762470002047</v>
      </c>
      <c r="K30" s="116">
        <v>312996.19</v>
      </c>
      <c r="L30" s="112">
        <v>1.8523972199316764E-2</v>
      </c>
      <c r="M30" s="242">
        <v>148</v>
      </c>
      <c r="N30" s="112">
        <v>1.4999999999999999E-2</v>
      </c>
      <c r="O30" s="112">
        <v>2.576864177170456E-2</v>
      </c>
      <c r="P30" s="19">
        <f t="shared" si="0"/>
        <v>5.2166596550273425E-3</v>
      </c>
      <c r="Q30" s="19">
        <f t="shared" si="1"/>
        <v>0.99222674162822777</v>
      </c>
      <c r="R30" s="19">
        <f t="shared" si="2"/>
        <v>7.6325133971402188E-3</v>
      </c>
      <c r="S30" s="19">
        <f t="shared" si="3"/>
        <v>3.3783103426080771E-3</v>
      </c>
      <c r="T30" s="19">
        <f t="shared" si="4"/>
        <v>0.98381786233402224</v>
      </c>
      <c r="U30" s="91">
        <f t="shared" si="5"/>
        <v>7.5678297102617113E-3</v>
      </c>
      <c r="V30" s="19">
        <f t="shared" si="6"/>
        <v>3.2359721664093379E-3</v>
      </c>
      <c r="W30" s="19">
        <f t="shared" si="7"/>
        <v>3.6399974485999192E-3</v>
      </c>
      <c r="X30" s="19">
        <f t="shared" si="8"/>
        <v>4.5736065202524471E-3</v>
      </c>
      <c r="Y30" s="19">
        <f t="shared" si="9"/>
        <v>0.97625124130695884</v>
      </c>
      <c r="Z30" s="91">
        <f t="shared" si="10"/>
        <v>7.5096249331304491E-3</v>
      </c>
      <c r="AA30" s="19">
        <f t="shared" si="11"/>
        <v>3.8215822026422129E-3</v>
      </c>
      <c r="AB30" s="19">
        <f t="shared" si="12"/>
        <v>1.347377620786031E-3</v>
      </c>
      <c r="AC30" s="19">
        <f t="shared" si="13"/>
        <v>2.8935185185185188E-3</v>
      </c>
      <c r="AD30" s="19">
        <f t="shared" si="14"/>
        <v>4.1745246473796679E-3</v>
      </c>
      <c r="AE30" s="23">
        <f>('Modelo AHP'!$U$37*aux!P30)+('Modelo AHP'!$U$38*aux!R30)+('Modelo AHP'!$U$39*aux!S30)</f>
        <v>4.3552354417870712E-3</v>
      </c>
      <c r="AF30" s="24">
        <f>aux!U30</f>
        <v>7.5678297102617113E-3</v>
      </c>
      <c r="AG30" s="23">
        <f>('Modelo AHP'!$U$47*aux!V30)+('Modelo AHP'!$U$48*aux!W30)+('Modelo AHP'!$U$49*aux!X30)</f>
        <v>3.9332895122462259E-3</v>
      </c>
      <c r="AH30" s="24">
        <f t="shared" si="15"/>
        <v>7.5096249331304491E-3</v>
      </c>
      <c r="AI30" s="23">
        <f>('Modelo AHP'!$U$56*aux!AA30)+('Modelo AHP'!$U$57*aux!AB30)+('Modelo AHP'!$U$58*aux!AC30)+('Modelo AHP'!$U$59*aux!AD30)</f>
        <v>2.443050197790269E-3</v>
      </c>
      <c r="AJ30" s="25">
        <f>('Modelo AHP'!$U$23*aux!AE30)+('Modelo AHP'!$U$24*aux!AF30)+('Modelo AHP'!$U$25*aux!AG30)+('Modelo AHP'!$U$26*aux!AH30)+('Modelo AHP'!$U$27*aux!AI30)</f>
        <v>5.3055307649558479E-3</v>
      </c>
    </row>
    <row r="31" spans="1:36">
      <c r="A31" s="248">
        <v>93</v>
      </c>
      <c r="B31" s="14" t="s">
        <v>41</v>
      </c>
      <c r="C31" s="15" t="s">
        <v>43</v>
      </c>
      <c r="D31" s="239">
        <v>6.46</v>
      </c>
      <c r="E31" s="240">
        <v>84.97</v>
      </c>
      <c r="F31" s="239">
        <v>22.079392566937525</v>
      </c>
      <c r="G31" s="241">
        <v>44699.409526484305</v>
      </c>
      <c r="H31" s="240">
        <v>6.12</v>
      </c>
      <c r="I31" s="240">
        <v>8.875</v>
      </c>
      <c r="J31" s="239">
        <v>2.5063762470002047</v>
      </c>
      <c r="K31" s="116">
        <v>101406.77</v>
      </c>
      <c r="L31" s="112">
        <v>1.8523972199316764E-2</v>
      </c>
      <c r="M31" s="242">
        <v>148</v>
      </c>
      <c r="N31" s="112">
        <v>1.4999999999999999E-2</v>
      </c>
      <c r="O31" s="112">
        <v>2.576864177170456E-2</v>
      </c>
      <c r="P31" s="19">
        <f t="shared" si="0"/>
        <v>5.4354228018510696E-3</v>
      </c>
      <c r="Q31" s="19">
        <f t="shared" si="1"/>
        <v>0.99235539625174196</v>
      </c>
      <c r="R31" s="19">
        <f t="shared" si="2"/>
        <v>7.6335030480903275E-3</v>
      </c>
      <c r="S31" s="19">
        <f t="shared" si="3"/>
        <v>4.646597477869786E-3</v>
      </c>
      <c r="T31" s="19">
        <f t="shared" si="4"/>
        <v>0.99179838704504564</v>
      </c>
      <c r="U31" s="91">
        <f t="shared" si="5"/>
        <v>7.6292183618849683E-3</v>
      </c>
      <c r="V31" s="19">
        <f t="shared" si="6"/>
        <v>6.4719443328186757E-3</v>
      </c>
      <c r="W31" s="19">
        <f t="shared" si="7"/>
        <v>7.547891905683243E-3</v>
      </c>
      <c r="X31" s="19">
        <f t="shared" si="8"/>
        <v>4.5736065202524471E-3</v>
      </c>
      <c r="Y31" s="19">
        <f t="shared" si="9"/>
        <v>0.99230570534877527</v>
      </c>
      <c r="Z31" s="91">
        <f t="shared" si="10"/>
        <v>7.6331208103751907E-3</v>
      </c>
      <c r="AA31" s="19">
        <f t="shared" si="11"/>
        <v>3.8215822026422129E-3</v>
      </c>
      <c r="AB31" s="19">
        <f t="shared" si="12"/>
        <v>1.347377620786031E-3</v>
      </c>
      <c r="AC31" s="19">
        <f t="shared" si="13"/>
        <v>2.8935185185185188E-3</v>
      </c>
      <c r="AD31" s="19">
        <f t="shared" si="14"/>
        <v>4.1745246473796679E-3</v>
      </c>
      <c r="AE31" s="23">
        <f>('Modelo AHP'!$U$37*aux!P31)+('Modelo AHP'!$U$38*aux!R31)+('Modelo AHP'!$U$39*aux!S31)</f>
        <v>5.1819356320862257E-3</v>
      </c>
      <c r="AF31" s="24">
        <f>aux!U31</f>
        <v>7.6292183618849683E-3</v>
      </c>
      <c r="AG31" s="23">
        <f>('Modelo AHP'!$U$47*aux!V31)+('Modelo AHP'!$U$48*aux!W31)+('Modelo AHP'!$U$49*aux!X31)</f>
        <v>6.2136897730671386E-3</v>
      </c>
      <c r="AH31" s="24">
        <f t="shared" si="15"/>
        <v>7.6331208103751907E-3</v>
      </c>
      <c r="AI31" s="23">
        <f>('Modelo AHP'!$U$56*aux!AA31)+('Modelo AHP'!$U$57*aux!AB31)+('Modelo AHP'!$U$58*aux!AC31)+('Modelo AHP'!$U$59*aux!AD31)</f>
        <v>2.443050197790269E-3</v>
      </c>
      <c r="AJ31" s="25">
        <f>('Modelo AHP'!$U$23*aux!AE31)+('Modelo AHP'!$U$24*aux!AF31)+('Modelo AHP'!$U$25*aux!AG31)+('Modelo AHP'!$U$26*aux!AH31)+('Modelo AHP'!$U$27*aux!AI31)</f>
        <v>6.251852068015663E-3</v>
      </c>
    </row>
    <row r="32" spans="1:36">
      <c r="A32" s="248">
        <v>94</v>
      </c>
      <c r="B32" s="14" t="s">
        <v>41</v>
      </c>
      <c r="C32" s="15" t="s">
        <v>44</v>
      </c>
      <c r="D32" s="239">
        <v>7.21</v>
      </c>
      <c r="E32" s="240">
        <v>85.56</v>
      </c>
      <c r="F32" s="239">
        <v>23.396627273934403</v>
      </c>
      <c r="G32" s="241">
        <v>44436.726803944228</v>
      </c>
      <c r="H32" s="240">
        <v>5.98</v>
      </c>
      <c r="I32" s="240">
        <v>8.3849999999999998</v>
      </c>
      <c r="J32" s="239">
        <v>2.5063762470002047</v>
      </c>
      <c r="K32" s="116">
        <v>113798.58</v>
      </c>
      <c r="L32" s="112">
        <v>1.8523972199316764E-2</v>
      </c>
      <c r="M32" s="242">
        <v>148</v>
      </c>
      <c r="N32" s="112">
        <v>1.4999999999999999E-2</v>
      </c>
      <c r="O32" s="112">
        <v>2.576864177170456E-2</v>
      </c>
      <c r="P32" s="19">
        <f t="shared" si="0"/>
        <v>6.0664703407656674E-3</v>
      </c>
      <c r="Q32" s="19">
        <f t="shared" si="1"/>
        <v>0.99230231497350885</v>
      </c>
      <c r="R32" s="19">
        <f t="shared" si="2"/>
        <v>7.6330947305654579E-3</v>
      </c>
      <c r="S32" s="19">
        <f t="shared" si="3"/>
        <v>4.9238088843311907E-3</v>
      </c>
      <c r="T32" s="19">
        <f t="shared" si="4"/>
        <v>0.99184658504235812</v>
      </c>
      <c r="U32" s="91">
        <f t="shared" si="5"/>
        <v>7.629589115710449E-3</v>
      </c>
      <c r="V32" s="19">
        <f t="shared" si="6"/>
        <v>6.3238933186692296E-3</v>
      </c>
      <c r="W32" s="19">
        <f t="shared" si="7"/>
        <v>7.1311632258201684E-3</v>
      </c>
      <c r="X32" s="19">
        <f t="shared" si="8"/>
        <v>4.5736065202524471E-3</v>
      </c>
      <c r="Y32" s="19">
        <f t="shared" si="9"/>
        <v>0.99136546992463159</v>
      </c>
      <c r="Z32" s="91">
        <f t="shared" si="10"/>
        <v>7.6258882301894707E-3</v>
      </c>
      <c r="AA32" s="19">
        <f t="shared" si="11"/>
        <v>3.8215822026422129E-3</v>
      </c>
      <c r="AB32" s="19">
        <f t="shared" si="12"/>
        <v>1.347377620786031E-3</v>
      </c>
      <c r="AC32" s="19">
        <f t="shared" si="13"/>
        <v>2.8935185185185188E-3</v>
      </c>
      <c r="AD32" s="19">
        <f t="shared" si="14"/>
        <v>4.1745246473796679E-3</v>
      </c>
      <c r="AE32" s="23">
        <f>('Modelo AHP'!$U$37*aux!P32)+('Modelo AHP'!$U$38*aux!R32)+('Modelo AHP'!$U$39*aux!S32)</f>
        <v>5.5375359058849605E-3</v>
      </c>
      <c r="AF32" s="24">
        <f>aux!U32</f>
        <v>7.629589115710449E-3</v>
      </c>
      <c r="AG32" s="23">
        <f>('Modelo AHP'!$U$47*aux!V32)+('Modelo AHP'!$U$48*aux!W32)+('Modelo AHP'!$U$49*aux!X32)</f>
        <v>6.0038499307368785E-3</v>
      </c>
      <c r="AH32" s="24">
        <f t="shared" si="15"/>
        <v>7.6258882301894707E-3</v>
      </c>
      <c r="AI32" s="23">
        <f>('Modelo AHP'!$U$56*aux!AA32)+('Modelo AHP'!$U$57*aux!AB32)+('Modelo AHP'!$U$58*aux!AC32)+('Modelo AHP'!$U$59*aux!AD32)</f>
        <v>2.443050197790269E-3</v>
      </c>
      <c r="AJ32" s="25">
        <f>('Modelo AHP'!$U$23*aux!AE32)+('Modelo AHP'!$U$24*aux!AF32)+('Modelo AHP'!$U$25*aux!AG32)+('Modelo AHP'!$U$26*aux!AH32)+('Modelo AHP'!$U$27*aux!AI32)</f>
        <v>6.2390648019010212E-3</v>
      </c>
    </row>
    <row r="33" spans="1:36">
      <c r="A33" s="248">
        <v>125</v>
      </c>
      <c r="B33" s="14" t="s">
        <v>41</v>
      </c>
      <c r="C33" s="15" t="s">
        <v>45</v>
      </c>
      <c r="D33" s="239">
        <v>3.78</v>
      </c>
      <c r="E33" s="240">
        <v>86.2</v>
      </c>
      <c r="F33" s="239">
        <v>16.530670239110137</v>
      </c>
      <c r="G33" s="241">
        <v>63487.380653796492</v>
      </c>
      <c r="H33" s="240">
        <v>4.5</v>
      </c>
      <c r="I33" s="240">
        <v>6.2349999999999994</v>
      </c>
      <c r="J33" s="239">
        <v>2.5063762470002047</v>
      </c>
      <c r="K33" s="116">
        <v>156399.54999999999</v>
      </c>
      <c r="L33" s="112">
        <v>1.8523972199316764E-2</v>
      </c>
      <c r="M33" s="242">
        <v>148</v>
      </c>
      <c r="N33" s="112">
        <v>1.4999999999999999E-2</v>
      </c>
      <c r="O33" s="112">
        <v>2.576864177170456E-2</v>
      </c>
      <c r="P33" s="19">
        <f t="shared" si="0"/>
        <v>3.1804795961295732E-3</v>
      </c>
      <c r="Q33" s="19">
        <f t="shared" si="1"/>
        <v>0.99224473528186607</v>
      </c>
      <c r="R33" s="19">
        <f t="shared" si="2"/>
        <v>7.6326518098605136E-3</v>
      </c>
      <c r="S33" s="19">
        <f t="shared" si="3"/>
        <v>3.4788715499160243E-3</v>
      </c>
      <c r="T33" s="19">
        <f t="shared" si="4"/>
        <v>0.98835110062611042</v>
      </c>
      <c r="U33" s="91">
        <f t="shared" si="5"/>
        <v>7.6027007740470049E-3</v>
      </c>
      <c r="V33" s="19">
        <f t="shared" si="6"/>
        <v>4.7587825976607911E-3</v>
      </c>
      <c r="W33" s="19">
        <f t="shared" si="7"/>
        <v>5.3026598345842276E-3</v>
      </c>
      <c r="X33" s="19">
        <f t="shared" si="8"/>
        <v>4.5736065202524471E-3</v>
      </c>
      <c r="Y33" s="19">
        <f t="shared" si="9"/>
        <v>0.98813309780975223</v>
      </c>
      <c r="Z33" s="91">
        <f t="shared" si="10"/>
        <v>7.6010238293057831E-3</v>
      </c>
      <c r="AA33" s="19">
        <f t="shared" si="11"/>
        <v>3.8215822026422129E-3</v>
      </c>
      <c r="AB33" s="19">
        <f t="shared" si="12"/>
        <v>1.347377620786031E-3</v>
      </c>
      <c r="AC33" s="19">
        <f t="shared" si="13"/>
        <v>2.8935185185185188E-3</v>
      </c>
      <c r="AD33" s="19">
        <f t="shared" si="14"/>
        <v>4.1745246473796679E-3</v>
      </c>
      <c r="AE33" s="23">
        <f>('Modelo AHP'!$U$37*aux!P33)+('Modelo AHP'!$U$38*aux!R33)+('Modelo AHP'!$U$39*aux!S33)</f>
        <v>3.8047319897745379E-3</v>
      </c>
      <c r="AF33" s="24">
        <f>aux!U33</f>
        <v>7.6027007740470049E-3</v>
      </c>
      <c r="AG33" s="23">
        <f>('Modelo AHP'!$U$47*aux!V33)+('Modelo AHP'!$U$48*aux!W33)+('Modelo AHP'!$U$49*aux!X33)</f>
        <v>4.9282217546127742E-3</v>
      </c>
      <c r="AH33" s="24">
        <f t="shared" si="15"/>
        <v>7.6010238293057831E-3</v>
      </c>
      <c r="AI33" s="23">
        <f>('Modelo AHP'!$U$56*aux!AA33)+('Modelo AHP'!$U$57*aux!AB33)+('Modelo AHP'!$U$58*aux!AC33)+('Modelo AHP'!$U$59*aux!AD33)</f>
        <v>2.443050197790269E-3</v>
      </c>
      <c r="AJ33" s="25">
        <f>('Modelo AHP'!$U$23*aux!AE33)+('Modelo AHP'!$U$24*aux!AF33)+('Modelo AHP'!$U$25*aux!AG33)+('Modelo AHP'!$U$26*aux!AH33)+('Modelo AHP'!$U$27*aux!AI33)</f>
        <v>5.5717728061910306E-3</v>
      </c>
    </row>
    <row r="34" spans="1:36">
      <c r="A34" s="248">
        <v>130</v>
      </c>
      <c r="B34" s="14" t="s">
        <v>41</v>
      </c>
      <c r="C34" s="15" t="s">
        <v>46</v>
      </c>
      <c r="D34" s="239">
        <v>4.88</v>
      </c>
      <c r="E34" s="240">
        <v>85.89</v>
      </c>
      <c r="F34" s="239">
        <v>13.543307086614174</v>
      </c>
      <c r="G34" s="241">
        <v>73422.834209702633</v>
      </c>
      <c r="H34" s="240">
        <v>3.78</v>
      </c>
      <c r="I34" s="240">
        <v>5.1950000000000003</v>
      </c>
      <c r="J34" s="239">
        <v>2.5063762470002047</v>
      </c>
      <c r="K34" s="116">
        <v>201438.28</v>
      </c>
      <c r="L34" s="112">
        <v>1.8523972199316764E-2</v>
      </c>
      <c r="M34" s="242">
        <v>148</v>
      </c>
      <c r="N34" s="112">
        <v>1.4999999999999999E-2</v>
      </c>
      <c r="O34" s="112">
        <v>2.576864177170456E-2</v>
      </c>
      <c r="P34" s="19">
        <f t="shared" si="0"/>
        <v>4.1060159865376504E-3</v>
      </c>
      <c r="Q34" s="19">
        <f t="shared" si="1"/>
        <v>0.9922726254450055</v>
      </c>
      <c r="R34" s="19">
        <f t="shared" si="2"/>
        <v>7.6328663495769701E-3</v>
      </c>
      <c r="S34" s="19">
        <f t="shared" si="3"/>
        <v>2.8501824205486299E-3</v>
      </c>
      <c r="T34" s="19">
        <f t="shared" si="4"/>
        <v>0.98652810686711701</v>
      </c>
      <c r="U34" s="91">
        <f t="shared" si="5"/>
        <v>7.588677745131671E-3</v>
      </c>
      <c r="V34" s="19">
        <f t="shared" si="6"/>
        <v>3.997377382035064E-3</v>
      </c>
      <c r="W34" s="19">
        <f t="shared" si="7"/>
        <v>4.4181744732421915E-3</v>
      </c>
      <c r="X34" s="19">
        <f t="shared" si="8"/>
        <v>4.5736065202524471E-3</v>
      </c>
      <c r="Y34" s="19">
        <f t="shared" si="9"/>
        <v>0.98471575930920674</v>
      </c>
      <c r="Z34" s="91">
        <f t="shared" si="10"/>
        <v>7.574736610070818E-3</v>
      </c>
      <c r="AA34" s="19">
        <f t="shared" si="11"/>
        <v>3.8215822026422129E-3</v>
      </c>
      <c r="AB34" s="19">
        <f t="shared" si="12"/>
        <v>1.347377620786031E-3</v>
      </c>
      <c r="AC34" s="19">
        <f t="shared" si="13"/>
        <v>2.8935185185185188E-3</v>
      </c>
      <c r="AD34" s="19">
        <f t="shared" si="14"/>
        <v>4.1745246473796679E-3</v>
      </c>
      <c r="AE34" s="23">
        <f>('Modelo AHP'!$U$37*aux!P34)+('Modelo AHP'!$U$38*aux!R34)+('Modelo AHP'!$U$39*aux!S34)</f>
        <v>3.7052008832481704E-3</v>
      </c>
      <c r="AF34" s="24">
        <f>aux!U34</f>
        <v>7.588677745131671E-3</v>
      </c>
      <c r="AG34" s="23">
        <f>('Modelo AHP'!$U$47*aux!V34)+('Modelo AHP'!$U$48*aux!W34)+('Modelo AHP'!$U$49*aux!X34)</f>
        <v>4.4071855276434013E-3</v>
      </c>
      <c r="AH34" s="24">
        <f t="shared" si="15"/>
        <v>7.574736610070818E-3</v>
      </c>
      <c r="AI34" s="23">
        <f>('Modelo AHP'!$U$56*aux!AA34)+('Modelo AHP'!$U$57*aux!AB34)+('Modelo AHP'!$U$58*aux!AC34)+('Modelo AHP'!$U$59*aux!AD34)</f>
        <v>2.443050197790269E-3</v>
      </c>
      <c r="AJ34" s="25">
        <f>('Modelo AHP'!$U$23*aux!AE34)+('Modelo AHP'!$U$24*aux!AF34)+('Modelo AHP'!$U$25*aux!AG34)+('Modelo AHP'!$U$26*aux!AH34)+('Modelo AHP'!$U$27*aux!AI34)</f>
        <v>5.3706114594984219E-3</v>
      </c>
    </row>
    <row r="35" spans="1:36">
      <c r="A35" s="248">
        <v>110</v>
      </c>
      <c r="B35" s="14" t="s">
        <v>41</v>
      </c>
      <c r="C35" s="15" t="s">
        <v>47</v>
      </c>
      <c r="D35" s="239">
        <v>4.82</v>
      </c>
      <c r="E35" s="240">
        <v>86.55</v>
      </c>
      <c r="F35" s="239">
        <v>17.423955093681258</v>
      </c>
      <c r="G35" s="241">
        <v>56554.143514980584</v>
      </c>
      <c r="H35" s="240">
        <v>5.34</v>
      </c>
      <c r="I35" s="240">
        <v>7.96</v>
      </c>
      <c r="J35" s="239">
        <v>2.5063762470002047</v>
      </c>
      <c r="K35" s="116">
        <v>106808.86</v>
      </c>
      <c r="L35" s="112">
        <v>1.8523972199316764E-2</v>
      </c>
      <c r="M35" s="242">
        <v>148</v>
      </c>
      <c r="N35" s="112">
        <v>1.4999999999999999E-2</v>
      </c>
      <c r="O35" s="112">
        <v>2.5768641771704601E-2</v>
      </c>
      <c r="P35" s="19">
        <f t="shared" si="0"/>
        <v>4.0555321834244828E-3</v>
      </c>
      <c r="Q35" s="19">
        <f t="shared" si="1"/>
        <v>0.9922132463879989</v>
      </c>
      <c r="R35" s="19">
        <f t="shared" si="2"/>
        <v>7.6324095875999962E-3</v>
      </c>
      <c r="S35" s="19">
        <f t="shared" si="3"/>
        <v>3.6668629151533501E-3</v>
      </c>
      <c r="T35" s="19">
        <f t="shared" si="4"/>
        <v>0.98962323661492679</v>
      </c>
      <c r="U35" s="91">
        <f t="shared" si="5"/>
        <v>7.6124864354994385E-3</v>
      </c>
      <c r="V35" s="19">
        <f t="shared" si="6"/>
        <v>5.6470886825574721E-3</v>
      </c>
      <c r="W35" s="19">
        <f t="shared" si="7"/>
        <v>6.7697148810409707E-3</v>
      </c>
      <c r="X35" s="19">
        <f t="shared" si="8"/>
        <v>4.5736065202524471E-3</v>
      </c>
      <c r="Y35" s="19">
        <f t="shared" si="9"/>
        <v>0.99189581878802158</v>
      </c>
      <c r="Z35" s="91">
        <f t="shared" si="10"/>
        <v>7.6299678368309315E-3</v>
      </c>
      <c r="AA35" s="19">
        <f t="shared" si="11"/>
        <v>3.8215822026422129E-3</v>
      </c>
      <c r="AB35" s="19">
        <f t="shared" si="12"/>
        <v>1.347377620786031E-3</v>
      </c>
      <c r="AC35" s="19">
        <f t="shared" si="13"/>
        <v>2.8935185185185188E-3</v>
      </c>
      <c r="AD35" s="19">
        <f t="shared" si="14"/>
        <v>4.1745246473796748E-3</v>
      </c>
      <c r="AE35" s="23">
        <f>('Modelo AHP'!$U$37*aux!P35)+('Modelo AHP'!$U$38*aux!R35)+('Modelo AHP'!$U$39*aux!S35)</f>
        <v>4.1800183628793539E-3</v>
      </c>
      <c r="AF35" s="24">
        <f>aux!U35</f>
        <v>7.6124864354994385E-3</v>
      </c>
      <c r="AG35" s="23">
        <f>('Modelo AHP'!$U$47*aux!V35)+('Modelo AHP'!$U$48*aux!W35)+('Modelo AHP'!$U$49*aux!X35)</f>
        <v>5.7290579521125738E-3</v>
      </c>
      <c r="AH35" s="24">
        <f t="shared" si="15"/>
        <v>7.6299678368309315E-3</v>
      </c>
      <c r="AI35" s="23">
        <f>('Modelo AHP'!$U$56*aux!AA35)+('Modelo AHP'!$U$57*aux!AB35)+('Modelo AHP'!$U$58*aux!AC35)+('Modelo AHP'!$U$59*aux!AD35)</f>
        <v>2.4430501977902698E-3</v>
      </c>
      <c r="AJ35" s="25">
        <f>('Modelo AHP'!$U$23*aux!AE35)+('Modelo AHP'!$U$24*aux!AF35)+('Modelo AHP'!$U$25*aux!AG35)+('Modelo AHP'!$U$26*aux!AH35)+('Modelo AHP'!$U$27*aux!AI35)</f>
        <v>5.9134010097303584E-3</v>
      </c>
    </row>
    <row r="36" spans="1:36">
      <c r="A36" s="248">
        <v>46</v>
      </c>
      <c r="B36" s="14" t="s">
        <v>48</v>
      </c>
      <c r="C36" s="15" t="s">
        <v>49</v>
      </c>
      <c r="D36" s="239">
        <v>18.84</v>
      </c>
      <c r="E36" s="240">
        <v>85.7</v>
      </c>
      <c r="F36" s="239">
        <v>41.111734495705839</v>
      </c>
      <c r="G36" s="241">
        <v>28860.619326379441</v>
      </c>
      <c r="H36" s="240">
        <v>7.1</v>
      </c>
      <c r="I36" s="240">
        <v>9.9750000000000014</v>
      </c>
      <c r="J36" s="239">
        <v>3.9123004763116751</v>
      </c>
      <c r="K36" s="116">
        <v>78296.899999999994</v>
      </c>
      <c r="L36" s="112">
        <v>2.6796828932713096E-2</v>
      </c>
      <c r="M36" s="242">
        <v>900</v>
      </c>
      <c r="N36" s="112">
        <v>3.6999999999999998E-2</v>
      </c>
      <c r="O36" s="112">
        <v>4.5993579243923215E-2</v>
      </c>
      <c r="P36" s="19">
        <f t="shared" si="0"/>
        <v>1.5851914177534697E-2</v>
      </c>
      <c r="Q36" s="19">
        <f t="shared" si="1"/>
        <v>0.992289719415962</v>
      </c>
      <c r="R36" s="19">
        <f t="shared" si="2"/>
        <v>7.632997841661251E-3</v>
      </c>
      <c r="S36" s="19">
        <f t="shared" si="3"/>
        <v>8.6519446239048149E-3</v>
      </c>
      <c r="T36" s="19">
        <f t="shared" si="4"/>
        <v>0.99470454684160881</v>
      </c>
      <c r="U36" s="91">
        <f t="shared" si="5"/>
        <v>7.6515734372431463E-3</v>
      </c>
      <c r="V36" s="19">
        <f t="shared" si="6"/>
        <v>7.5083014318648037E-3</v>
      </c>
      <c r="W36" s="19">
        <f t="shared" si="7"/>
        <v>8.4834052686411678E-3</v>
      </c>
      <c r="X36" s="19">
        <f t="shared" si="8"/>
        <v>7.1391208678512385E-3</v>
      </c>
      <c r="Y36" s="19">
        <f t="shared" si="9"/>
        <v>0.99405917949188716</v>
      </c>
      <c r="Z36" s="91">
        <f t="shared" si="10"/>
        <v>7.6466090730145132E-3</v>
      </c>
      <c r="AA36" s="19">
        <f t="shared" si="11"/>
        <v>5.5283112841359927E-3</v>
      </c>
      <c r="AB36" s="19">
        <f t="shared" si="12"/>
        <v>8.1935125588339722E-3</v>
      </c>
      <c r="AC36" s="19">
        <f t="shared" si="13"/>
        <v>7.1373456790123462E-3</v>
      </c>
      <c r="AD36" s="19">
        <f t="shared" si="14"/>
        <v>7.4509681913385055E-3</v>
      </c>
      <c r="AE36" s="23">
        <f>('Modelo AHP'!$U$37*aux!P36)+('Modelo AHP'!$U$38*aux!R36)+('Modelo AHP'!$U$39*aux!S36)</f>
        <v>1.0710040811769423E-2</v>
      </c>
      <c r="AF36" s="24">
        <f>aux!U36</f>
        <v>7.6515734372431463E-3</v>
      </c>
      <c r="AG36" s="23">
        <f>('Modelo AHP'!$U$47*aux!V36)+('Modelo AHP'!$U$48*aux!W36)+('Modelo AHP'!$U$49*aux!X36)</f>
        <v>7.7976810138759723E-3</v>
      </c>
      <c r="AH36" s="24">
        <f t="shared" si="15"/>
        <v>7.6466090730145132E-3</v>
      </c>
      <c r="AI36" s="23">
        <f>('Modelo AHP'!$U$56*aux!AA36)+('Modelo AHP'!$U$57*aux!AB36)+('Modelo AHP'!$U$58*aux!AC36)+('Modelo AHP'!$U$59*aux!AD36)</f>
        <v>7.4332302313602303E-3</v>
      </c>
      <c r="AJ36" s="25">
        <f>('Modelo AHP'!$U$23*aux!AE36)+('Modelo AHP'!$U$24*aux!AF36)+('Modelo AHP'!$U$25*aux!AG36)+('Modelo AHP'!$U$26*aux!AH36)+('Modelo AHP'!$U$27*aux!AI36)</f>
        <v>8.191100233668645E-3</v>
      </c>
    </row>
    <row r="37" spans="1:36">
      <c r="A37" s="248">
        <v>73</v>
      </c>
      <c r="B37" s="14" t="s">
        <v>48</v>
      </c>
      <c r="C37" s="15" t="s">
        <v>50</v>
      </c>
      <c r="D37" s="239">
        <v>11.01</v>
      </c>
      <c r="E37" s="240">
        <v>85.56</v>
      </c>
      <c r="F37" s="239">
        <v>26.475160766023603</v>
      </c>
      <c r="G37" s="241">
        <v>44415.683716413318</v>
      </c>
      <c r="H37" s="240">
        <v>5.47</v>
      </c>
      <c r="I37" s="240">
        <v>7.8699999999999992</v>
      </c>
      <c r="J37" s="239">
        <v>3.9123004763116751</v>
      </c>
      <c r="K37" s="116">
        <v>115696.81</v>
      </c>
      <c r="L37" s="112">
        <v>2.6796828932713096E-2</v>
      </c>
      <c r="M37" s="242">
        <v>900</v>
      </c>
      <c r="N37" s="112">
        <v>3.6999999999999998E-2</v>
      </c>
      <c r="O37" s="112">
        <v>4.5993579243923215E-2</v>
      </c>
      <c r="P37" s="19">
        <f t="shared" ref="P37:P68" si="16">D37/$P$1</f>
        <v>9.263777871266296E-3</v>
      </c>
      <c r="Q37" s="19">
        <f t="shared" ref="Q37:Q68" si="17">1-(E37/Q$1)</f>
        <v>0.99230231497350885</v>
      </c>
      <c r="R37" s="19">
        <f t="shared" ref="R37:R68" si="18">Q37/R$1</f>
        <v>7.6330947305654579E-3</v>
      </c>
      <c r="S37" s="19">
        <f t="shared" ref="S37:S68" si="19">F37/S$1</f>
        <v>5.5716847675336897E-3</v>
      </c>
      <c r="T37" s="19">
        <f t="shared" ref="T37:T68" si="20">1-(G37/T$1)</f>
        <v>0.99185044610587403</v>
      </c>
      <c r="U37" s="91">
        <f t="shared" ref="U37:U68" si="21">T37/U$1</f>
        <v>7.6296188161990323E-3</v>
      </c>
      <c r="V37" s="19">
        <f t="shared" ref="V37:V68" si="22">H37/V$1</f>
        <v>5.7845646242676721E-3</v>
      </c>
      <c r="W37" s="19">
        <f t="shared" ref="W37:W68" si="23">I37/W$1</f>
        <v>6.6931728786171398E-3</v>
      </c>
      <c r="X37" s="19">
        <f t="shared" ref="X37:X68" si="24">J37/X$1</f>
        <v>7.1391208678512385E-3</v>
      </c>
      <c r="Y37" s="19">
        <f t="shared" ref="Y37:Y68" si="25">1-(K37/Y$1)</f>
        <v>0.99122144067554108</v>
      </c>
      <c r="Z37" s="91">
        <f t="shared" ref="Z37:Z68" si="26">Y37/Z$1</f>
        <v>7.6247803128887742E-3</v>
      </c>
      <c r="AA37" s="19">
        <f t="shared" ref="AA37:AA68" si="27">L37/$AA$1</f>
        <v>5.5283112841359927E-3</v>
      </c>
      <c r="AB37" s="19">
        <f t="shared" ref="AB37:AB68" si="28">M37/AB$1</f>
        <v>8.1935125588339722E-3</v>
      </c>
      <c r="AC37" s="19">
        <f t="shared" ref="AC37:AC68" si="29">N37/AC$1</f>
        <v>7.1373456790123462E-3</v>
      </c>
      <c r="AD37" s="19">
        <f t="shared" ref="AD37:AD68" si="30">O37/AD$1</f>
        <v>7.4509681913385055E-3</v>
      </c>
      <c r="AE37" s="23">
        <f>('Modelo AHP'!$U$37*aux!P37)+('Modelo AHP'!$U$38*aux!R37)+('Modelo AHP'!$U$39*aux!S37)</f>
        <v>6.8854536949566484E-3</v>
      </c>
      <c r="AF37" s="24">
        <f>aux!U37</f>
        <v>7.6296188161990323E-3</v>
      </c>
      <c r="AG37" s="23">
        <f>('Modelo AHP'!$U$47*aux!V37)+('Modelo AHP'!$U$48*aux!W37)+('Modelo AHP'!$U$49*aux!X37)</f>
        <v>6.7121838000243818E-3</v>
      </c>
      <c r="AH37" s="24">
        <f t="shared" ref="AH37:AH68" si="31">Z37</f>
        <v>7.6247803128887742E-3</v>
      </c>
      <c r="AI37" s="23">
        <f>('Modelo AHP'!$U$56*aux!AA37)+('Modelo AHP'!$U$57*aux!AB37)+('Modelo AHP'!$U$58*aux!AC37)+('Modelo AHP'!$U$59*aux!AD37)</f>
        <v>7.4332302313602303E-3</v>
      </c>
      <c r="AJ37" s="25">
        <f>('Modelo AHP'!$U$23*aux!AE37)+('Modelo AHP'!$U$24*aux!AF37)+('Modelo AHP'!$U$25*aux!AG37)+('Modelo AHP'!$U$26*aux!AH37)+('Modelo AHP'!$U$27*aux!AI37)</f>
        <v>7.1731684480426019E-3</v>
      </c>
    </row>
    <row r="38" spans="1:36">
      <c r="A38" s="248">
        <v>76</v>
      </c>
      <c r="B38" s="14" t="s">
        <v>48</v>
      </c>
      <c r="C38" s="15" t="s">
        <v>51</v>
      </c>
      <c r="D38" s="239">
        <v>10.78</v>
      </c>
      <c r="E38" s="240">
        <v>85.62</v>
      </c>
      <c r="F38" s="239">
        <v>25.150435239820062</v>
      </c>
      <c r="G38" s="241">
        <v>46595.922461094349</v>
      </c>
      <c r="H38" s="240">
        <v>5.42</v>
      </c>
      <c r="I38" s="240">
        <v>7.73</v>
      </c>
      <c r="J38" s="239">
        <v>3.9123004763116751</v>
      </c>
      <c r="K38" s="116">
        <v>114452.2</v>
      </c>
      <c r="L38" s="112">
        <v>2.6796828932713096E-2</v>
      </c>
      <c r="M38" s="242">
        <v>900</v>
      </c>
      <c r="N38" s="112">
        <v>3.6999999999999998E-2</v>
      </c>
      <c r="O38" s="112">
        <v>4.5993579243923215E-2</v>
      </c>
      <c r="P38" s="19">
        <f t="shared" si="16"/>
        <v>9.0702566259991523E-3</v>
      </c>
      <c r="Q38" s="19">
        <f t="shared" si="17"/>
        <v>0.99229691687741728</v>
      </c>
      <c r="R38" s="19">
        <f t="shared" si="18"/>
        <v>7.6330532067493684E-3</v>
      </c>
      <c r="S38" s="19">
        <f t="shared" si="19"/>
        <v>5.29289692179628E-3</v>
      </c>
      <c r="T38" s="19">
        <f t="shared" si="20"/>
        <v>0.99145040783864202</v>
      </c>
      <c r="U38" s="91">
        <f t="shared" si="21"/>
        <v>7.6265415987587862E-3</v>
      </c>
      <c r="V38" s="19">
        <f t="shared" si="22"/>
        <v>5.7316892620714417E-3</v>
      </c>
      <c r="W38" s="19">
        <f t="shared" si="23"/>
        <v>6.5741075415134053E-3</v>
      </c>
      <c r="X38" s="19">
        <f t="shared" si="24"/>
        <v>7.1391208678512385E-3</v>
      </c>
      <c r="Y38" s="19">
        <f t="shared" si="25"/>
        <v>0.99131587614632732</v>
      </c>
      <c r="Z38" s="91">
        <f t="shared" si="26"/>
        <v>7.62550673958713E-3</v>
      </c>
      <c r="AA38" s="19">
        <f t="shared" si="27"/>
        <v>5.5283112841359927E-3</v>
      </c>
      <c r="AB38" s="19">
        <f t="shared" si="28"/>
        <v>8.1935125588339722E-3</v>
      </c>
      <c r="AC38" s="19">
        <f t="shared" si="29"/>
        <v>7.1373456790123462E-3</v>
      </c>
      <c r="AD38" s="19">
        <f t="shared" si="30"/>
        <v>7.4509681913385055E-3</v>
      </c>
      <c r="AE38" s="23">
        <f>('Modelo AHP'!$U$37*aux!P38)+('Modelo AHP'!$U$38*aux!R38)+('Modelo AHP'!$U$39*aux!S38)</f>
        <v>6.6601204615524502E-3</v>
      </c>
      <c r="AF38" s="24">
        <f>aux!U38</f>
        <v>7.6265415987587862E-3</v>
      </c>
      <c r="AG38" s="23">
        <f>('Modelo AHP'!$U$47*aux!V38)+('Modelo AHP'!$U$48*aux!W38)+('Modelo AHP'!$U$49*aux!X38)</f>
        <v>6.6504402584323628E-3</v>
      </c>
      <c r="AH38" s="24">
        <f t="shared" si="31"/>
        <v>7.62550673958713E-3</v>
      </c>
      <c r="AI38" s="23">
        <f>('Modelo AHP'!$U$56*aux!AA38)+('Modelo AHP'!$U$57*aux!AB38)+('Modelo AHP'!$U$58*aux!AC38)+('Modelo AHP'!$U$59*aux!AD38)</f>
        <v>7.4332302313602303E-3</v>
      </c>
      <c r="AJ38" s="25">
        <f>('Modelo AHP'!$U$23*aux!AE38)+('Modelo AHP'!$U$24*aux!AF38)+('Modelo AHP'!$U$25*aux!AG38)+('Modelo AHP'!$U$26*aux!AH38)+('Modelo AHP'!$U$27*aux!AI38)</f>
        <v>7.1135261901628371E-3</v>
      </c>
    </row>
    <row r="39" spans="1:36">
      <c r="A39" s="248">
        <v>33</v>
      </c>
      <c r="B39" s="14" t="s">
        <v>48</v>
      </c>
      <c r="C39" s="15" t="s">
        <v>52</v>
      </c>
      <c r="D39" s="239">
        <v>11.11</v>
      </c>
      <c r="E39" s="240">
        <v>83.88</v>
      </c>
      <c r="F39" s="239">
        <v>46.91261703076237</v>
      </c>
      <c r="G39" s="241">
        <v>29675.215769875176</v>
      </c>
      <c r="H39" s="240">
        <v>10.63</v>
      </c>
      <c r="I39" s="240">
        <v>13.984999999999999</v>
      </c>
      <c r="J39" s="239">
        <v>3.9123004763116751</v>
      </c>
      <c r="K39" s="116">
        <v>81848.03</v>
      </c>
      <c r="L39" s="112">
        <v>2.6796828932713096E-2</v>
      </c>
      <c r="M39" s="242">
        <v>900</v>
      </c>
      <c r="N39" s="112">
        <v>3.6999999999999998E-2</v>
      </c>
      <c r="O39" s="112">
        <v>4.5993579243923215E-2</v>
      </c>
      <c r="P39" s="19">
        <f t="shared" si="16"/>
        <v>9.3479175431215762E-3</v>
      </c>
      <c r="Q39" s="19">
        <f t="shared" si="17"/>
        <v>0.99245346166407111</v>
      </c>
      <c r="R39" s="19">
        <f t="shared" si="18"/>
        <v>7.6342573974159363E-3</v>
      </c>
      <c r="S39" s="19">
        <f t="shared" si="19"/>
        <v>9.8727375454082354E-3</v>
      </c>
      <c r="T39" s="19">
        <f t="shared" si="20"/>
        <v>0.99455508167384021</v>
      </c>
      <c r="U39" s="91">
        <f t="shared" si="21"/>
        <v>7.6504237051833882E-3</v>
      </c>
      <c r="V39" s="19">
        <f t="shared" si="22"/>
        <v>1.1241302002918714E-2</v>
      </c>
      <c r="W39" s="19">
        <f t="shared" si="23"/>
        <v>1.1893776709969595E-2</v>
      </c>
      <c r="X39" s="19">
        <f t="shared" si="24"/>
        <v>7.1391208678512385E-3</v>
      </c>
      <c r="Y39" s="19">
        <f t="shared" si="25"/>
        <v>0.99378973554288064</v>
      </c>
      <c r="Z39" s="91">
        <f t="shared" si="26"/>
        <v>7.6445364272529244E-3</v>
      </c>
      <c r="AA39" s="19">
        <f t="shared" si="27"/>
        <v>5.5283112841359927E-3</v>
      </c>
      <c r="AB39" s="19">
        <f t="shared" si="28"/>
        <v>8.1935125588339722E-3</v>
      </c>
      <c r="AC39" s="19">
        <f t="shared" si="29"/>
        <v>7.1373456790123462E-3</v>
      </c>
      <c r="AD39" s="19">
        <f t="shared" si="30"/>
        <v>7.4509681913385055E-3</v>
      </c>
      <c r="AE39" s="23">
        <f>('Modelo AHP'!$U$37*aux!P39)+('Modelo AHP'!$U$38*aux!R39)+('Modelo AHP'!$U$39*aux!S39)</f>
        <v>9.491443529923007E-3</v>
      </c>
      <c r="AF39" s="24">
        <f>aux!U39</f>
        <v>7.6504237051833882E-3</v>
      </c>
      <c r="AG39" s="23">
        <f>('Modelo AHP'!$U$47*aux!V39)+('Modelo AHP'!$U$48*aux!W39)+('Modelo AHP'!$U$49*aux!X39)</f>
        <v>9.9415622280718888E-3</v>
      </c>
      <c r="AH39" s="24">
        <f t="shared" si="31"/>
        <v>7.6445364272529244E-3</v>
      </c>
      <c r="AI39" s="23">
        <f>('Modelo AHP'!$U$56*aux!AA39)+('Modelo AHP'!$U$57*aux!AB39)+('Modelo AHP'!$U$58*aux!AC39)+('Modelo AHP'!$U$59*aux!AD39)</f>
        <v>7.4332302313602303E-3</v>
      </c>
      <c r="AJ39" s="25">
        <f>('Modelo AHP'!$U$23*aux!AE39)+('Modelo AHP'!$U$24*aux!AF39)+('Modelo AHP'!$U$25*aux!AG39)+('Modelo AHP'!$U$26*aux!AH39)+('Modelo AHP'!$U$27*aux!AI39)</f>
        <v>8.7198273549745058E-3</v>
      </c>
    </row>
    <row r="40" spans="1:36">
      <c r="A40" s="248">
        <v>43</v>
      </c>
      <c r="B40" s="14" t="s">
        <v>48</v>
      </c>
      <c r="C40" s="15" t="s">
        <v>53</v>
      </c>
      <c r="D40" s="239">
        <v>17.989999999999998</v>
      </c>
      <c r="E40" s="240">
        <v>83.97</v>
      </c>
      <c r="F40" s="239">
        <v>46.513334964521654</v>
      </c>
      <c r="G40" s="241">
        <v>28693.648097831949</v>
      </c>
      <c r="H40" s="240">
        <v>7.96</v>
      </c>
      <c r="I40" s="240">
        <v>10.414999999999999</v>
      </c>
      <c r="J40" s="239">
        <v>3.9123004763116751</v>
      </c>
      <c r="K40" s="116">
        <v>56502.33</v>
      </c>
      <c r="L40" s="112">
        <v>2.6796828932713096E-2</v>
      </c>
      <c r="M40" s="242">
        <v>900</v>
      </c>
      <c r="N40" s="112">
        <v>3.6999999999999998E-2</v>
      </c>
      <c r="O40" s="112">
        <v>4.5993579243923215E-2</v>
      </c>
      <c r="P40" s="19">
        <f t="shared" si="16"/>
        <v>1.5136726966764819E-2</v>
      </c>
      <c r="Q40" s="19">
        <f t="shared" si="17"/>
        <v>0.99244536451993381</v>
      </c>
      <c r="R40" s="19">
        <f t="shared" si="18"/>
        <v>7.6341951116918032E-3</v>
      </c>
      <c r="S40" s="19">
        <f t="shared" si="19"/>
        <v>9.7887088278460072E-3</v>
      </c>
      <c r="T40" s="19">
        <f t="shared" si="20"/>
        <v>0.99473518334006972</v>
      </c>
      <c r="U40" s="91">
        <f t="shared" si="21"/>
        <v>7.6518091026159226E-3</v>
      </c>
      <c r="V40" s="19">
        <f t="shared" si="22"/>
        <v>8.4177576616399769E-3</v>
      </c>
      <c r="W40" s="19">
        <f t="shared" si="23"/>
        <v>8.8576106138243352E-3</v>
      </c>
      <c r="X40" s="19">
        <f t="shared" si="24"/>
        <v>7.1391208678512385E-3</v>
      </c>
      <c r="Y40" s="19">
        <f t="shared" si="25"/>
        <v>0.99571285452144132</v>
      </c>
      <c r="Z40" s="91">
        <f t="shared" si="26"/>
        <v>7.65932965016493E-3</v>
      </c>
      <c r="AA40" s="19">
        <f t="shared" si="27"/>
        <v>5.5283112841359927E-3</v>
      </c>
      <c r="AB40" s="19">
        <f t="shared" si="28"/>
        <v>8.1935125588339722E-3</v>
      </c>
      <c r="AC40" s="19">
        <f t="shared" si="29"/>
        <v>7.1373456790123462E-3</v>
      </c>
      <c r="AD40" s="19">
        <f t="shared" si="30"/>
        <v>7.4509681913385055E-3</v>
      </c>
      <c r="AE40" s="23">
        <f>('Modelo AHP'!$U$37*aux!P40)+('Modelo AHP'!$U$38*aux!R40)+('Modelo AHP'!$U$39*aux!S40)</f>
        <v>1.117766289790623E-2</v>
      </c>
      <c r="AF40" s="24">
        <f>aux!U40</f>
        <v>7.6518091026159226E-3</v>
      </c>
      <c r="AG40" s="23">
        <f>('Modelo AHP'!$U$47*aux!V40)+('Modelo AHP'!$U$48*aux!W40)+('Modelo AHP'!$U$49*aux!X40)</f>
        <v>8.1174944382660374E-3</v>
      </c>
      <c r="AH40" s="24">
        <f t="shared" si="31"/>
        <v>7.65932965016493E-3</v>
      </c>
      <c r="AI40" s="23">
        <f>('Modelo AHP'!$U$56*aux!AA40)+('Modelo AHP'!$U$57*aux!AB40)+('Modelo AHP'!$U$58*aux!AC40)+('Modelo AHP'!$U$59*aux!AD40)</f>
        <v>7.4332302313602303E-3</v>
      </c>
      <c r="AJ40" s="25">
        <f>('Modelo AHP'!$U$23*aux!AE40)+('Modelo AHP'!$U$24*aux!AF40)+('Modelo AHP'!$U$25*aux!AG40)+('Modelo AHP'!$U$26*aux!AH40)+('Modelo AHP'!$U$27*aux!AI40)</f>
        <v>8.3794597966103997E-3</v>
      </c>
    </row>
    <row r="41" spans="1:36">
      <c r="A41" s="248">
        <v>40</v>
      </c>
      <c r="B41" s="14" t="s">
        <v>48</v>
      </c>
      <c r="C41" s="15" t="s">
        <v>54</v>
      </c>
      <c r="D41" s="239">
        <v>19.670000000000002</v>
      </c>
      <c r="E41" s="240">
        <v>84.84</v>
      </c>
      <c r="F41" s="239">
        <v>44.037257596579629</v>
      </c>
      <c r="G41" s="241">
        <v>29320.7636426756</v>
      </c>
      <c r="H41" s="240">
        <v>7.65</v>
      </c>
      <c r="I41" s="240">
        <v>10.865</v>
      </c>
      <c r="J41" s="239">
        <v>3.9123004763116751</v>
      </c>
      <c r="K41" s="116">
        <v>69769.070000000007</v>
      </c>
      <c r="L41" s="112">
        <v>2.6796828932713096E-2</v>
      </c>
      <c r="M41" s="242">
        <v>900</v>
      </c>
      <c r="N41" s="112">
        <v>3.6999999999999998E-2</v>
      </c>
      <c r="O41" s="112">
        <v>4.5993579243923215E-2</v>
      </c>
      <c r="P41" s="19">
        <f t="shared" si="16"/>
        <v>1.655027345393352E-2</v>
      </c>
      <c r="Q41" s="19">
        <f t="shared" si="17"/>
        <v>0.9923670921266069</v>
      </c>
      <c r="R41" s="19">
        <f t="shared" si="18"/>
        <v>7.6335930163585197E-3</v>
      </c>
      <c r="S41" s="19">
        <f t="shared" si="19"/>
        <v>9.2676195443428741E-3</v>
      </c>
      <c r="T41" s="19">
        <f t="shared" si="20"/>
        <v>0.99462011786087601</v>
      </c>
      <c r="U41" s="91">
        <f t="shared" si="21"/>
        <v>7.6509239835452015E-3</v>
      </c>
      <c r="V41" s="19">
        <f t="shared" si="22"/>
        <v>8.0899304160233446E-3</v>
      </c>
      <c r="W41" s="19">
        <f t="shared" si="23"/>
        <v>9.2403206259434861E-3</v>
      </c>
      <c r="X41" s="19">
        <f t="shared" si="24"/>
        <v>7.1391208678512385E-3</v>
      </c>
      <c r="Y41" s="19">
        <f t="shared" si="25"/>
        <v>0.99470623330057817</v>
      </c>
      <c r="Z41" s="91">
        <f t="shared" si="26"/>
        <v>7.6515864100044437E-3</v>
      </c>
      <c r="AA41" s="19">
        <f t="shared" si="27"/>
        <v>5.5283112841359927E-3</v>
      </c>
      <c r="AB41" s="19">
        <f t="shared" si="28"/>
        <v>8.1935125588339722E-3</v>
      </c>
      <c r="AC41" s="19">
        <f t="shared" si="29"/>
        <v>7.1373456790123462E-3</v>
      </c>
      <c r="AD41" s="19">
        <f t="shared" si="30"/>
        <v>7.4509681913385055E-3</v>
      </c>
      <c r="AE41" s="23">
        <f>('Modelo AHP'!$U$37*aux!P41)+('Modelo AHP'!$U$38*aux!R41)+('Modelo AHP'!$U$39*aux!S41)</f>
        <v>1.1289013064421632E-2</v>
      </c>
      <c r="AF41" s="24">
        <f>aux!U41</f>
        <v>7.6509239835452015E-3</v>
      </c>
      <c r="AG41" s="23">
        <f>('Modelo AHP'!$U$47*aux!V41)+('Modelo AHP'!$U$48*aux!W41)+('Modelo AHP'!$U$49*aux!X41)</f>
        <v>8.2317308712127682E-3</v>
      </c>
      <c r="AH41" s="24">
        <f t="shared" si="31"/>
        <v>7.6515864100044437E-3</v>
      </c>
      <c r="AI41" s="23">
        <f>('Modelo AHP'!$U$56*aux!AA41)+('Modelo AHP'!$U$57*aux!AB41)+('Modelo AHP'!$U$58*aux!AC41)+('Modelo AHP'!$U$59*aux!AD41)</f>
        <v>7.4332302313602303E-3</v>
      </c>
      <c r="AJ41" s="25">
        <f>('Modelo AHP'!$U$23*aux!AE41)+('Modelo AHP'!$U$24*aux!AF41)+('Modelo AHP'!$U$25*aux!AG41)+('Modelo AHP'!$U$26*aux!AH41)+('Modelo AHP'!$U$27*aux!AI41)</f>
        <v>8.4362125174502235E-3</v>
      </c>
    </row>
    <row r="42" spans="1:36">
      <c r="A42" s="248">
        <v>95</v>
      </c>
      <c r="B42" s="14" t="s">
        <v>55</v>
      </c>
      <c r="C42" s="15" t="s">
        <v>56</v>
      </c>
      <c r="D42" s="239">
        <v>6.55</v>
      </c>
      <c r="E42" s="240">
        <v>86.62</v>
      </c>
      <c r="F42" s="239">
        <v>21.306788097003071</v>
      </c>
      <c r="G42" s="241">
        <v>45820.967484979083</v>
      </c>
      <c r="H42" s="240">
        <v>5.86</v>
      </c>
      <c r="I42" s="240">
        <v>7.76</v>
      </c>
      <c r="J42" s="239">
        <v>2.703855152959699</v>
      </c>
      <c r="K42" s="116">
        <v>111003.11</v>
      </c>
      <c r="L42" s="112">
        <v>2.7428537540030839E-2</v>
      </c>
      <c r="M42" s="242">
        <v>160</v>
      </c>
      <c r="N42" s="112">
        <v>2.7E-2</v>
      </c>
      <c r="O42" s="112">
        <v>3.3000000000000002E-2</v>
      </c>
      <c r="P42" s="19">
        <f t="shared" si="16"/>
        <v>5.5111485065208214E-3</v>
      </c>
      <c r="Q42" s="19">
        <f t="shared" si="17"/>
        <v>0.99220694860922554</v>
      </c>
      <c r="R42" s="19">
        <f t="shared" si="18"/>
        <v>7.6323611431478935E-3</v>
      </c>
      <c r="S42" s="19">
        <f t="shared" si="19"/>
        <v>4.4840032411621999E-3</v>
      </c>
      <c r="T42" s="19">
        <f t="shared" si="20"/>
        <v>0.99159259944338451</v>
      </c>
      <c r="U42" s="91">
        <f t="shared" si="21"/>
        <v>7.6276353803337287E-3</v>
      </c>
      <c r="V42" s="19">
        <f t="shared" si="22"/>
        <v>6.1969924493982748E-3</v>
      </c>
      <c r="W42" s="19">
        <f t="shared" si="23"/>
        <v>6.5996215423213484E-3</v>
      </c>
      <c r="X42" s="19">
        <f t="shared" si="24"/>
        <v>4.9339637543228147E-3</v>
      </c>
      <c r="Y42" s="19">
        <f t="shared" si="25"/>
        <v>0.99157757775400679</v>
      </c>
      <c r="Z42" s="91">
        <f t="shared" si="26"/>
        <v>7.6275198288769715E-3</v>
      </c>
      <c r="AA42" s="19">
        <f t="shared" si="27"/>
        <v>5.6586357277815316E-3</v>
      </c>
      <c r="AB42" s="19">
        <f t="shared" si="28"/>
        <v>1.4566244549038172E-3</v>
      </c>
      <c r="AC42" s="19">
        <f t="shared" si="29"/>
        <v>5.2083333333333339E-3</v>
      </c>
      <c r="AD42" s="19">
        <f t="shared" si="30"/>
        <v>5.3460059937965633E-3</v>
      </c>
      <c r="AE42" s="23">
        <f>('Modelo AHP'!$U$37*aux!P42)+('Modelo AHP'!$U$38*aux!R42)+('Modelo AHP'!$U$39*aux!S42)</f>
        <v>5.1069826109683553E-3</v>
      </c>
      <c r="AF42" s="24">
        <f>aux!U42</f>
        <v>7.6276353803337287E-3</v>
      </c>
      <c r="AG42" s="23">
        <f>('Modelo AHP'!$U$47*aux!V42)+('Modelo AHP'!$U$48*aux!W42)+('Modelo AHP'!$U$49*aux!X42)</f>
        <v>5.8862692080742457E-3</v>
      </c>
      <c r="AH42" s="24">
        <f t="shared" si="31"/>
        <v>7.6275198288769715E-3</v>
      </c>
      <c r="AI42" s="23">
        <f>('Modelo AHP'!$U$56*aux!AA42)+('Modelo AHP'!$U$57*aux!AB42)+('Modelo AHP'!$U$58*aux!AC42)+('Modelo AHP'!$U$59*aux!AD42)</f>
        <v>3.4472446780921067E-3</v>
      </c>
      <c r="AJ42" s="25">
        <f>('Modelo AHP'!$U$23*aux!AE42)+('Modelo AHP'!$U$24*aux!AF42)+('Modelo AHP'!$U$25*aux!AG42)+('Modelo AHP'!$U$26*aux!AH42)+('Modelo AHP'!$U$27*aux!AI42)</f>
        <v>6.2205352805488143E-3</v>
      </c>
    </row>
    <row r="43" spans="1:36">
      <c r="A43" s="248">
        <v>97</v>
      </c>
      <c r="B43" s="14" t="s">
        <v>55</v>
      </c>
      <c r="C43" s="15" t="s">
        <v>57</v>
      </c>
      <c r="D43" s="239">
        <v>6.16</v>
      </c>
      <c r="E43" s="240">
        <v>85.26</v>
      </c>
      <c r="F43" s="239">
        <v>22.874574914982997</v>
      </c>
      <c r="G43" s="241">
        <v>42935.374278636868</v>
      </c>
      <c r="H43" s="240">
        <v>5.63</v>
      </c>
      <c r="I43" s="240">
        <v>7.4649999999999999</v>
      </c>
      <c r="J43" s="239">
        <v>2.703855152959699</v>
      </c>
      <c r="K43" s="116">
        <v>119836.57</v>
      </c>
      <c r="L43" s="112">
        <v>2.7428537540030839E-2</v>
      </c>
      <c r="M43" s="242">
        <v>160</v>
      </c>
      <c r="N43" s="112">
        <v>2.7E-2</v>
      </c>
      <c r="O43" s="112">
        <v>3.3000000000000002E-2</v>
      </c>
      <c r="P43" s="19">
        <f t="shared" si="16"/>
        <v>5.1830037862852308E-3</v>
      </c>
      <c r="Q43" s="19">
        <f t="shared" si="17"/>
        <v>0.99232930545396636</v>
      </c>
      <c r="R43" s="19">
        <f t="shared" si="18"/>
        <v>7.6333023496458997E-3</v>
      </c>
      <c r="S43" s="19">
        <f t="shared" si="19"/>
        <v>4.8139432180966946E-3</v>
      </c>
      <c r="T43" s="19">
        <f t="shared" si="20"/>
        <v>0.99212205875558956</v>
      </c>
      <c r="U43" s="91">
        <f t="shared" si="21"/>
        <v>7.6317081442737675E-3</v>
      </c>
      <c r="V43" s="19">
        <f t="shared" si="22"/>
        <v>5.9537657832956122E-3</v>
      </c>
      <c r="W43" s="19">
        <f t="shared" si="23"/>
        <v>6.3487338677099053E-3</v>
      </c>
      <c r="X43" s="19">
        <f t="shared" si="24"/>
        <v>4.9339637543228147E-3</v>
      </c>
      <c r="Y43" s="19">
        <f t="shared" si="25"/>
        <v>0.99090733410035525</v>
      </c>
      <c r="Z43" s="91">
        <f t="shared" si="26"/>
        <v>7.6223641084642675E-3</v>
      </c>
      <c r="AA43" s="19">
        <f t="shared" si="27"/>
        <v>5.6586357277815316E-3</v>
      </c>
      <c r="AB43" s="19">
        <f t="shared" si="28"/>
        <v>1.4566244549038172E-3</v>
      </c>
      <c r="AC43" s="19">
        <f t="shared" si="29"/>
        <v>5.2083333333333339E-3</v>
      </c>
      <c r="AD43" s="19">
        <f t="shared" si="30"/>
        <v>5.3460059937965633E-3</v>
      </c>
      <c r="AE43" s="23">
        <f>('Modelo AHP'!$U$37*aux!P43)+('Modelo AHP'!$U$38*aux!R43)+('Modelo AHP'!$U$39*aux!S43)</f>
        <v>5.2065973017081761E-3</v>
      </c>
      <c r="AF43" s="24">
        <f>aux!U43</f>
        <v>7.6317081442737675E-3</v>
      </c>
      <c r="AG43" s="23">
        <f>('Modelo AHP'!$U$47*aux!V43)+('Modelo AHP'!$U$48*aux!W43)+('Modelo AHP'!$U$49*aux!X43)</f>
        <v>5.7338643874605289E-3</v>
      </c>
      <c r="AH43" s="24">
        <f t="shared" si="31"/>
        <v>7.6223641084642675E-3</v>
      </c>
      <c r="AI43" s="23">
        <f>('Modelo AHP'!$U$56*aux!AA43)+('Modelo AHP'!$U$57*aux!AB43)+('Modelo AHP'!$U$58*aux!AC43)+('Modelo AHP'!$U$59*aux!AD43)</f>
        <v>3.4472446780921067E-3</v>
      </c>
      <c r="AJ43" s="25">
        <f>('Modelo AHP'!$U$23*aux!AE43)+('Modelo AHP'!$U$24*aux!AF43)+('Modelo AHP'!$U$25*aux!AG43)+('Modelo AHP'!$U$26*aux!AH43)+('Modelo AHP'!$U$27*aux!AI43)</f>
        <v>6.1860053160120989E-3</v>
      </c>
    </row>
    <row r="44" spans="1:36">
      <c r="A44" s="248">
        <v>96</v>
      </c>
      <c r="B44" s="14" t="s">
        <v>55</v>
      </c>
      <c r="C44" s="15" t="s">
        <v>58</v>
      </c>
      <c r="D44" s="239">
        <v>6.89</v>
      </c>
      <c r="E44" s="240">
        <v>84.6</v>
      </c>
      <c r="F44" s="239">
        <v>21.089931573802541</v>
      </c>
      <c r="G44" s="241">
        <v>42776.916598599571</v>
      </c>
      <c r="H44" s="240">
        <v>5.63</v>
      </c>
      <c r="I44" s="240">
        <v>7.5399999999999991</v>
      </c>
      <c r="J44" s="239">
        <v>2.703855152959699</v>
      </c>
      <c r="K44" s="116">
        <v>114444.1</v>
      </c>
      <c r="L44" s="112">
        <v>2.7428537540030839E-2</v>
      </c>
      <c r="M44" s="242">
        <v>160</v>
      </c>
      <c r="N44" s="112">
        <v>2.7E-2</v>
      </c>
      <c r="O44" s="112">
        <v>3.3000000000000002E-2</v>
      </c>
      <c r="P44" s="19">
        <f t="shared" si="16"/>
        <v>5.7972233908287719E-3</v>
      </c>
      <c r="Q44" s="19">
        <f t="shared" si="17"/>
        <v>0.99238868451097295</v>
      </c>
      <c r="R44" s="19">
        <f t="shared" si="18"/>
        <v>7.6337591116228736E-3</v>
      </c>
      <c r="S44" s="19">
        <f t="shared" si="19"/>
        <v>4.4383658908271157E-3</v>
      </c>
      <c r="T44" s="19">
        <f t="shared" si="20"/>
        <v>0.99215113315668735</v>
      </c>
      <c r="U44" s="91">
        <f t="shared" si="21"/>
        <v>7.6319317935129817E-3</v>
      </c>
      <c r="V44" s="19">
        <f t="shared" si="22"/>
        <v>5.9537657832956122E-3</v>
      </c>
      <c r="W44" s="19">
        <f t="shared" si="23"/>
        <v>6.4125188697297629E-3</v>
      </c>
      <c r="X44" s="19">
        <f t="shared" si="24"/>
        <v>4.9339637543228147E-3</v>
      </c>
      <c r="Y44" s="19">
        <f t="shared" si="25"/>
        <v>0.99131649073829853</v>
      </c>
      <c r="Z44" s="91">
        <f t="shared" si="26"/>
        <v>7.6255114672176775E-3</v>
      </c>
      <c r="AA44" s="19">
        <f t="shared" si="27"/>
        <v>5.6586357277815316E-3</v>
      </c>
      <c r="AB44" s="19">
        <f t="shared" si="28"/>
        <v>1.4566244549038172E-3</v>
      </c>
      <c r="AC44" s="19">
        <f t="shared" si="29"/>
        <v>5.2083333333333339E-3</v>
      </c>
      <c r="AD44" s="19">
        <f t="shared" si="30"/>
        <v>5.3460059937965633E-3</v>
      </c>
      <c r="AE44" s="23">
        <f>('Modelo AHP'!$U$37*aux!P44)+('Modelo AHP'!$U$38*aux!R44)+('Modelo AHP'!$U$39*aux!S44)</f>
        <v>5.1655624629071886E-3</v>
      </c>
      <c r="AF44" s="24">
        <f>aux!U44</f>
        <v>7.6319317935129817E-3</v>
      </c>
      <c r="AG44" s="23">
        <f>('Modelo AHP'!$U$47*aux!V44)+('Modelo AHP'!$U$48*aux!W44)+('Modelo AHP'!$U$49*aux!X44)</f>
        <v>5.7621485144038476E-3</v>
      </c>
      <c r="AH44" s="24">
        <f t="shared" si="31"/>
        <v>7.6255114672176775E-3</v>
      </c>
      <c r="AI44" s="23">
        <f>('Modelo AHP'!$U$56*aux!AA44)+('Modelo AHP'!$U$57*aux!AB44)+('Modelo AHP'!$U$58*aux!AC44)+('Modelo AHP'!$U$59*aux!AD44)</f>
        <v>3.4472446780921067E-3</v>
      </c>
      <c r="AJ44" s="25">
        <f>('Modelo AHP'!$U$23*aux!AE44)+('Modelo AHP'!$U$24*aux!AF44)+('Modelo AHP'!$U$25*aux!AG44)+('Modelo AHP'!$U$26*aux!AH44)+('Modelo AHP'!$U$27*aux!AI44)</f>
        <v>6.1891313153736001E-3</v>
      </c>
    </row>
    <row r="45" spans="1:36">
      <c r="A45" s="248">
        <v>115</v>
      </c>
      <c r="B45" s="14" t="s">
        <v>55</v>
      </c>
      <c r="C45" s="15" t="s">
        <v>59</v>
      </c>
      <c r="D45" s="239">
        <v>7.25</v>
      </c>
      <c r="E45" s="240">
        <v>83.97</v>
      </c>
      <c r="F45" s="239">
        <v>18.897239941893513</v>
      </c>
      <c r="G45" s="241">
        <v>69962.598948637489</v>
      </c>
      <c r="H45" s="240">
        <v>4.12</v>
      </c>
      <c r="I45" s="240">
        <v>5.65</v>
      </c>
      <c r="J45" s="239">
        <v>2.703855152959699</v>
      </c>
      <c r="K45" s="116">
        <v>183069.1</v>
      </c>
      <c r="L45" s="112">
        <v>2.7428537540030839E-2</v>
      </c>
      <c r="M45" s="242">
        <v>160</v>
      </c>
      <c r="N45" s="112">
        <v>2.7E-2</v>
      </c>
      <c r="O45" s="112">
        <v>3.3000000000000002E-2</v>
      </c>
      <c r="P45" s="19">
        <f t="shared" si="16"/>
        <v>6.1001262095077792E-3</v>
      </c>
      <c r="Q45" s="19">
        <f t="shared" si="17"/>
        <v>0.99244536451993381</v>
      </c>
      <c r="R45" s="19">
        <f t="shared" si="18"/>
        <v>7.6341951116918032E-3</v>
      </c>
      <c r="S45" s="19">
        <f t="shared" si="19"/>
        <v>3.9769149982952536E-3</v>
      </c>
      <c r="T45" s="19">
        <f t="shared" si="20"/>
        <v>0.98716300362850551</v>
      </c>
      <c r="U45" s="91">
        <f t="shared" si="21"/>
        <v>7.5935615663731207E-3</v>
      </c>
      <c r="V45" s="19">
        <f t="shared" si="22"/>
        <v>4.3569298449694354E-3</v>
      </c>
      <c r="W45" s="19">
        <f t="shared" si="23"/>
        <v>4.8051368188293331E-3</v>
      </c>
      <c r="X45" s="19">
        <f t="shared" si="24"/>
        <v>4.9339637543228147E-3</v>
      </c>
      <c r="Y45" s="19">
        <f t="shared" si="25"/>
        <v>0.98610953098166398</v>
      </c>
      <c r="Z45" s="91">
        <f t="shared" si="26"/>
        <v>7.5854579306281816E-3</v>
      </c>
      <c r="AA45" s="19">
        <f t="shared" si="27"/>
        <v>5.6586357277815316E-3</v>
      </c>
      <c r="AB45" s="19">
        <f t="shared" si="28"/>
        <v>1.4566244549038172E-3</v>
      </c>
      <c r="AC45" s="19">
        <f t="shared" si="29"/>
        <v>5.2083333333333339E-3</v>
      </c>
      <c r="AD45" s="19">
        <f t="shared" si="30"/>
        <v>5.3460059937965633E-3</v>
      </c>
      <c r="AE45" s="23">
        <f>('Modelo AHP'!$U$37*aux!P45)+('Modelo AHP'!$U$38*aux!R45)+('Modelo AHP'!$U$39*aux!S45)</f>
        <v>4.9796063729986659E-3</v>
      </c>
      <c r="AF45" s="24">
        <f>aux!U45</f>
        <v>7.5935615663731207E-3</v>
      </c>
      <c r="AG45" s="23">
        <f>('Modelo AHP'!$U$47*aux!V45)+('Modelo AHP'!$U$48*aux!W45)+('Modelo AHP'!$U$49*aux!X45)</f>
        <v>4.7792040755712207E-3</v>
      </c>
      <c r="AH45" s="24">
        <f t="shared" si="31"/>
        <v>7.5854579306281816E-3</v>
      </c>
      <c r="AI45" s="23">
        <f>('Modelo AHP'!$U$56*aux!AA45)+('Modelo AHP'!$U$57*aux!AB45)+('Modelo AHP'!$U$58*aux!AC45)+('Modelo AHP'!$U$59*aux!AD45)</f>
        <v>3.4472446780921067E-3</v>
      </c>
      <c r="AJ45" s="25">
        <f>('Modelo AHP'!$U$23*aux!AE45)+('Modelo AHP'!$U$24*aux!AF45)+('Modelo AHP'!$U$25*aux!AG45)+('Modelo AHP'!$U$26*aux!AH45)+('Modelo AHP'!$U$27*aux!AI45)</f>
        <v>5.8068115934480462E-3</v>
      </c>
    </row>
    <row r="46" spans="1:36">
      <c r="A46" s="248">
        <v>104</v>
      </c>
      <c r="B46" s="14" t="s">
        <v>55</v>
      </c>
      <c r="C46" s="15" t="s">
        <v>60</v>
      </c>
      <c r="D46" s="239">
        <v>6.17</v>
      </c>
      <c r="E46" s="240">
        <v>84.78</v>
      </c>
      <c r="F46" s="239">
        <v>20.568614282516229</v>
      </c>
      <c r="G46" s="241">
        <v>49812.688499088188</v>
      </c>
      <c r="H46" s="240">
        <v>5.27</v>
      </c>
      <c r="I46" s="240">
        <v>7.18</v>
      </c>
      <c r="J46" s="239">
        <v>2.703855152959699</v>
      </c>
      <c r="K46" s="116">
        <v>120876.72</v>
      </c>
      <c r="L46" s="112">
        <v>2.7428537540030839E-2</v>
      </c>
      <c r="M46" s="242">
        <v>160</v>
      </c>
      <c r="N46" s="112">
        <v>2.7E-2</v>
      </c>
      <c r="O46" s="112">
        <v>3.3000000000000002E-2</v>
      </c>
      <c r="P46" s="19">
        <f t="shared" si="16"/>
        <v>5.1914177534707583E-3</v>
      </c>
      <c r="Q46" s="19">
        <f t="shared" si="17"/>
        <v>0.99237249022269847</v>
      </c>
      <c r="R46" s="19">
        <f t="shared" si="18"/>
        <v>7.6336345401746084E-3</v>
      </c>
      <c r="S46" s="19">
        <f t="shared" si="19"/>
        <v>4.328654919226918E-3</v>
      </c>
      <c r="T46" s="19">
        <f t="shared" si="20"/>
        <v>0.99086018371063345</v>
      </c>
      <c r="U46" s="91">
        <f t="shared" si="21"/>
        <v>7.6220014131587206E-3</v>
      </c>
      <c r="V46" s="19">
        <f t="shared" si="22"/>
        <v>5.5730631754827486E-3</v>
      </c>
      <c r="W46" s="19">
        <f t="shared" si="23"/>
        <v>6.1063508600344438E-3</v>
      </c>
      <c r="X46" s="19">
        <f t="shared" si="24"/>
        <v>4.9339637543228147E-3</v>
      </c>
      <c r="Y46" s="19">
        <f t="shared" si="25"/>
        <v>0.99082841214493278</v>
      </c>
      <c r="Z46" s="91">
        <f t="shared" si="26"/>
        <v>7.6217570164994796E-3</v>
      </c>
      <c r="AA46" s="19">
        <f t="shared" si="27"/>
        <v>5.6586357277815316E-3</v>
      </c>
      <c r="AB46" s="19">
        <f t="shared" si="28"/>
        <v>1.4566244549038172E-3</v>
      </c>
      <c r="AC46" s="19">
        <f t="shared" si="29"/>
        <v>5.2083333333333339E-3</v>
      </c>
      <c r="AD46" s="19">
        <f t="shared" si="30"/>
        <v>5.3460059937965633E-3</v>
      </c>
      <c r="AE46" s="23">
        <f>('Modelo AHP'!$U$37*aux!P46)+('Modelo AHP'!$U$38*aux!R46)+('Modelo AHP'!$U$39*aux!S46)</f>
        <v>4.9179817315948386E-3</v>
      </c>
      <c r="AF46" s="24">
        <f>aux!U46</f>
        <v>7.6220014131587206E-3</v>
      </c>
      <c r="AG46" s="23">
        <f>('Modelo AHP'!$U$47*aux!V46)+('Modelo AHP'!$U$48*aux!W46)+('Modelo AHP'!$U$49*aux!X46)</f>
        <v>5.5619698717315749E-3</v>
      </c>
      <c r="AH46" s="24">
        <f t="shared" si="31"/>
        <v>7.6217570164994796E-3</v>
      </c>
      <c r="AI46" s="23">
        <f>('Modelo AHP'!$U$56*aux!AA46)+('Modelo AHP'!$U$57*aux!AB46)+('Modelo AHP'!$U$58*aux!AC46)+('Modelo AHP'!$U$59*aux!AD46)</f>
        <v>3.4472446780921067E-3</v>
      </c>
      <c r="AJ46" s="25">
        <f>('Modelo AHP'!$U$23*aux!AE46)+('Modelo AHP'!$U$24*aux!AF46)+('Modelo AHP'!$U$25*aux!AG46)+('Modelo AHP'!$U$26*aux!AH46)+('Modelo AHP'!$U$27*aux!AI46)</f>
        <v>6.0759217445072785E-3</v>
      </c>
    </row>
    <row r="47" spans="1:36">
      <c r="A47" s="248">
        <v>117</v>
      </c>
      <c r="B47" s="14" t="s">
        <v>55</v>
      </c>
      <c r="C47" s="15" t="s">
        <v>61</v>
      </c>
      <c r="D47" s="239">
        <v>3.97</v>
      </c>
      <c r="E47" s="240">
        <v>85.53</v>
      </c>
      <c r="F47" s="239">
        <v>16.310488823384919</v>
      </c>
      <c r="G47" s="241">
        <v>58449.463667455282</v>
      </c>
      <c r="H47" s="240">
        <v>4.5199999999999996</v>
      </c>
      <c r="I47" s="240">
        <v>6.1400000000000006</v>
      </c>
      <c r="J47" s="239">
        <v>2.703855152959699</v>
      </c>
      <c r="K47" s="116">
        <v>177386.51</v>
      </c>
      <c r="L47" s="112">
        <v>2.7428537540030839E-2</v>
      </c>
      <c r="M47" s="242">
        <v>160</v>
      </c>
      <c r="N47" s="112">
        <v>2.7E-2</v>
      </c>
      <c r="O47" s="112">
        <v>3.3000000000000002E-2</v>
      </c>
      <c r="P47" s="19">
        <f t="shared" si="16"/>
        <v>3.3403449726546047E-3</v>
      </c>
      <c r="Q47" s="19">
        <f t="shared" si="17"/>
        <v>0.99230501402155458</v>
      </c>
      <c r="R47" s="19">
        <f t="shared" si="18"/>
        <v>7.6331154924735014E-3</v>
      </c>
      <c r="S47" s="19">
        <f t="shared" si="19"/>
        <v>3.4325344775585805E-3</v>
      </c>
      <c r="T47" s="19">
        <f t="shared" si="20"/>
        <v>0.98927547626460022</v>
      </c>
      <c r="U47" s="91">
        <f t="shared" si="21"/>
        <v>7.6098113558815414E-3</v>
      </c>
      <c r="V47" s="19">
        <f t="shared" si="22"/>
        <v>4.7799327425392833E-3</v>
      </c>
      <c r="W47" s="19">
        <f t="shared" si="23"/>
        <v>5.2218654986924077E-3</v>
      </c>
      <c r="X47" s="19">
        <f t="shared" si="24"/>
        <v>4.9339637543228147E-3</v>
      </c>
      <c r="Y47" s="19">
        <f t="shared" si="25"/>
        <v>0.98654070063475618</v>
      </c>
      <c r="Z47" s="91">
        <f t="shared" si="26"/>
        <v>7.5887746202673518E-3</v>
      </c>
      <c r="AA47" s="19">
        <f t="shared" si="27"/>
        <v>5.6586357277815316E-3</v>
      </c>
      <c r="AB47" s="19">
        <f t="shared" si="28"/>
        <v>1.4566244549038172E-3</v>
      </c>
      <c r="AC47" s="19">
        <f t="shared" si="29"/>
        <v>5.2083333333333339E-3</v>
      </c>
      <c r="AD47" s="19">
        <f t="shared" si="30"/>
        <v>5.3460059937965633E-3</v>
      </c>
      <c r="AE47" s="23">
        <f>('Modelo AHP'!$U$37*aux!P47)+('Modelo AHP'!$U$38*aux!R47)+('Modelo AHP'!$U$39*aux!S47)</f>
        <v>3.8249357275788798E-3</v>
      </c>
      <c r="AF47" s="24">
        <f>aux!U47</f>
        <v>7.6098113558815414E-3</v>
      </c>
      <c r="AG47" s="23">
        <f>('Modelo AHP'!$U$47*aux!V47)+('Modelo AHP'!$U$48*aux!W47)+('Modelo AHP'!$U$49*aux!X47)</f>
        <v>5.0355657419835064E-3</v>
      </c>
      <c r="AH47" s="24">
        <f t="shared" si="31"/>
        <v>7.5887746202673518E-3</v>
      </c>
      <c r="AI47" s="23">
        <f>('Modelo AHP'!$U$56*aux!AA47)+('Modelo AHP'!$U$57*aux!AB47)+('Modelo AHP'!$U$58*aux!AC47)+('Modelo AHP'!$U$59*aux!AD47)</f>
        <v>3.4472446780921067E-3</v>
      </c>
      <c r="AJ47" s="25">
        <f>('Modelo AHP'!$U$23*aux!AE47)+('Modelo AHP'!$U$24*aux!AF47)+('Modelo AHP'!$U$25*aux!AG47)+('Modelo AHP'!$U$26*aux!AH47)+('Modelo AHP'!$U$27*aux!AI47)</f>
        <v>5.7072115630950803E-3</v>
      </c>
    </row>
    <row r="48" spans="1:36">
      <c r="A48" s="248">
        <v>79</v>
      </c>
      <c r="B48" s="14" t="s">
        <v>62</v>
      </c>
      <c r="C48" s="15" t="s">
        <v>63</v>
      </c>
      <c r="D48" s="239">
        <v>2.3199999999999998</v>
      </c>
      <c r="E48" s="240">
        <v>83.23</v>
      </c>
      <c r="F48" s="239">
        <v>46.390658174097666</v>
      </c>
      <c r="G48" s="241">
        <v>40657.193469354628</v>
      </c>
      <c r="H48" s="240">
        <v>6.59</v>
      </c>
      <c r="I48" s="240">
        <v>8.6549999999999994</v>
      </c>
      <c r="J48" s="239">
        <v>3.1354236157438291</v>
      </c>
      <c r="K48" s="116">
        <v>94494.84</v>
      </c>
      <c r="L48" s="112">
        <v>2.3938872821074025E-2</v>
      </c>
      <c r="M48" s="242">
        <v>498</v>
      </c>
      <c r="N48" s="112">
        <v>2.9000000000000001E-2</v>
      </c>
      <c r="O48" s="112">
        <v>3.4000000000000002E-2</v>
      </c>
      <c r="P48" s="19">
        <f t="shared" si="16"/>
        <v>1.9520403870424894E-3</v>
      </c>
      <c r="Q48" s="19">
        <f t="shared" si="17"/>
        <v>0.9925119410383958</v>
      </c>
      <c r="R48" s="19">
        <f t="shared" si="18"/>
        <v>7.6347072387568955E-3</v>
      </c>
      <c r="S48" s="19">
        <f t="shared" si="19"/>
        <v>9.7628915566847149E-3</v>
      </c>
      <c r="T48" s="19">
        <f t="shared" si="20"/>
        <v>0.99254006779501691</v>
      </c>
      <c r="U48" s="91">
        <f t="shared" si="21"/>
        <v>7.6349235984232086E-3</v>
      </c>
      <c r="V48" s="19">
        <f t="shared" si="22"/>
        <v>6.9689727374632471E-3</v>
      </c>
      <c r="W48" s="19">
        <f t="shared" si="23"/>
        <v>7.3607892330916583E-3</v>
      </c>
      <c r="X48" s="19">
        <f t="shared" si="24"/>
        <v>5.7214849166731304E-3</v>
      </c>
      <c r="Y48" s="19">
        <f t="shared" si="25"/>
        <v>0.99283015185297452</v>
      </c>
      <c r="Z48" s="91">
        <f t="shared" si="26"/>
        <v>7.6371550142536465E-3</v>
      </c>
      <c r="AA48" s="19">
        <f t="shared" si="27"/>
        <v>4.9387015560143294E-3</v>
      </c>
      <c r="AB48" s="19">
        <f t="shared" si="28"/>
        <v>4.5337436158881311E-3</v>
      </c>
      <c r="AC48" s="19">
        <f t="shared" si="29"/>
        <v>5.5941358024691372E-3</v>
      </c>
      <c r="AD48" s="19">
        <f t="shared" si="30"/>
        <v>5.5080061754267618E-3</v>
      </c>
      <c r="AE48" s="23">
        <f>('Modelo AHP'!$U$37*aux!P48)+('Modelo AHP'!$U$38*aux!R48)+('Modelo AHP'!$U$39*aux!S48)</f>
        <v>7.2068177739992648E-3</v>
      </c>
      <c r="AF48" s="24">
        <f>aux!U48</f>
        <v>7.6349235984232086E-3</v>
      </c>
      <c r="AG48" s="23">
        <f>('Modelo AHP'!$U$47*aux!V48)+('Modelo AHP'!$U$48*aux!W48)+('Modelo AHP'!$U$49*aux!X48)</f>
        <v>6.6594749598925772E-3</v>
      </c>
      <c r="AH48" s="24">
        <f t="shared" si="31"/>
        <v>7.6371550142536465E-3</v>
      </c>
      <c r="AI48" s="23">
        <f>('Modelo AHP'!$U$56*aux!AA48)+('Modelo AHP'!$U$57*aux!AB48)+('Modelo AHP'!$U$58*aux!AC48)+('Modelo AHP'!$U$59*aux!AD48)</f>
        <v>4.951918362780563E-3</v>
      </c>
      <c r="AJ48" s="25">
        <f>('Modelo AHP'!$U$23*aux!AE48)+('Modelo AHP'!$U$24*aux!AF48)+('Modelo AHP'!$U$25*aux!AG48)+('Modelo AHP'!$U$26*aux!AH48)+('Modelo AHP'!$U$27*aux!AI48)</f>
        <v>6.9791314876492781E-3</v>
      </c>
    </row>
    <row r="49" spans="1:36">
      <c r="A49" s="248">
        <v>113</v>
      </c>
      <c r="B49" s="14" t="s">
        <v>62</v>
      </c>
      <c r="C49" s="15" t="s">
        <v>64</v>
      </c>
      <c r="D49" s="239">
        <v>4.59</v>
      </c>
      <c r="E49" s="240">
        <v>86.4</v>
      </c>
      <c r="F49" s="239">
        <v>15.339233038348082</v>
      </c>
      <c r="G49" s="241">
        <v>79413.251321153861</v>
      </c>
      <c r="H49" s="240">
        <v>4.18</v>
      </c>
      <c r="I49" s="240">
        <v>5.6749999999999998</v>
      </c>
      <c r="J49" s="239">
        <v>3.1354236157438291</v>
      </c>
      <c r="K49" s="116">
        <v>173080.95999999999</v>
      </c>
      <c r="L49" s="112">
        <v>2.3938872821074025E-2</v>
      </c>
      <c r="M49" s="242">
        <v>498</v>
      </c>
      <c r="N49" s="112">
        <v>2.9000000000000001E-2</v>
      </c>
      <c r="O49" s="112">
        <v>3.4000000000000002E-2</v>
      </c>
      <c r="P49" s="19">
        <f t="shared" si="16"/>
        <v>3.8620109381573391E-3</v>
      </c>
      <c r="Q49" s="19">
        <f t="shared" si="17"/>
        <v>0.99222674162822777</v>
      </c>
      <c r="R49" s="19">
        <f t="shared" si="18"/>
        <v>7.6325133971402188E-3</v>
      </c>
      <c r="S49" s="19">
        <f t="shared" si="19"/>
        <v>3.2281341677476761E-3</v>
      </c>
      <c r="T49" s="19">
        <f t="shared" si="20"/>
        <v>0.98542896298339866</v>
      </c>
      <c r="U49" s="91">
        <f t="shared" si="21"/>
        <v>7.5802227921799911E-3</v>
      </c>
      <c r="V49" s="19">
        <f t="shared" si="22"/>
        <v>4.4203802796049119E-3</v>
      </c>
      <c r="W49" s="19">
        <f t="shared" si="23"/>
        <v>4.8263984861692854E-3</v>
      </c>
      <c r="X49" s="19">
        <f t="shared" si="24"/>
        <v>5.7214849166731304E-3</v>
      </c>
      <c r="Y49" s="19">
        <f t="shared" si="25"/>
        <v>0.98686738661770956</v>
      </c>
      <c r="Z49" s="91">
        <f t="shared" si="26"/>
        <v>7.5912875893669931E-3</v>
      </c>
      <c r="AA49" s="19">
        <f t="shared" si="27"/>
        <v>4.9387015560143294E-3</v>
      </c>
      <c r="AB49" s="19">
        <f t="shared" si="28"/>
        <v>4.5337436158881311E-3</v>
      </c>
      <c r="AC49" s="19">
        <f t="shared" si="29"/>
        <v>5.5941358024691372E-3</v>
      </c>
      <c r="AD49" s="19">
        <f t="shared" si="30"/>
        <v>5.5080061754267618E-3</v>
      </c>
      <c r="AE49" s="23">
        <f>('Modelo AHP'!$U$37*aux!P49)+('Modelo AHP'!$U$38*aux!R49)+('Modelo AHP'!$U$39*aux!S49)</f>
        <v>3.8587351218098294E-3</v>
      </c>
      <c r="AF49" s="24">
        <f>aux!U49</f>
        <v>7.5802227921799911E-3</v>
      </c>
      <c r="AG49" s="23">
        <f>('Modelo AHP'!$U$47*aux!V49)+('Modelo AHP'!$U$48*aux!W49)+('Modelo AHP'!$U$49*aux!X49)</f>
        <v>5.1044307927895268E-3</v>
      </c>
      <c r="AH49" s="24">
        <f t="shared" si="31"/>
        <v>7.5912875893669931E-3</v>
      </c>
      <c r="AI49" s="23">
        <f>('Modelo AHP'!$U$56*aux!AA49)+('Modelo AHP'!$U$57*aux!AB49)+('Modelo AHP'!$U$58*aux!AC49)+('Modelo AHP'!$U$59*aux!AD49)</f>
        <v>4.951918362780563E-3</v>
      </c>
      <c r="AJ49" s="25">
        <f>('Modelo AHP'!$U$23*aux!AE49)+('Modelo AHP'!$U$24*aux!AF49)+('Modelo AHP'!$U$25*aux!AG49)+('Modelo AHP'!$U$26*aux!AH49)+('Modelo AHP'!$U$27*aux!AI49)</f>
        <v>5.867893767846054E-3</v>
      </c>
    </row>
    <row r="50" spans="1:36">
      <c r="A50" s="248">
        <v>83</v>
      </c>
      <c r="B50" s="14" t="s">
        <v>62</v>
      </c>
      <c r="C50" s="15" t="s">
        <v>65</v>
      </c>
      <c r="D50" s="239">
        <v>5.2</v>
      </c>
      <c r="E50" s="240">
        <v>85.49</v>
      </c>
      <c r="F50" s="239">
        <v>34.60144410513999</v>
      </c>
      <c r="G50" s="241">
        <v>46484.096164430717</v>
      </c>
      <c r="H50" s="240">
        <v>6.4</v>
      </c>
      <c r="I50" s="240">
        <v>8.0950000000000006</v>
      </c>
      <c r="J50" s="239">
        <v>3.1354236157438291</v>
      </c>
      <c r="K50" s="116">
        <v>100460.69</v>
      </c>
      <c r="L50" s="112">
        <v>2.3938872821074025E-2</v>
      </c>
      <c r="M50" s="242">
        <v>498</v>
      </c>
      <c r="N50" s="112">
        <v>2.9000000000000001E-2</v>
      </c>
      <c r="O50" s="112">
        <v>3.4000000000000002E-2</v>
      </c>
      <c r="P50" s="19">
        <f t="shared" si="16"/>
        <v>4.375262936474545E-3</v>
      </c>
      <c r="Q50" s="19">
        <f t="shared" si="17"/>
        <v>0.99230861275228222</v>
      </c>
      <c r="R50" s="19">
        <f t="shared" si="18"/>
        <v>7.6331431750175606E-3</v>
      </c>
      <c r="S50" s="19">
        <f t="shared" si="19"/>
        <v>7.2818571626083626E-3</v>
      </c>
      <c r="T50" s="19">
        <f t="shared" si="20"/>
        <v>0.99147092614107901</v>
      </c>
      <c r="U50" s="91">
        <f t="shared" si="21"/>
        <v>7.6266994318544556E-3</v>
      </c>
      <c r="V50" s="19">
        <f t="shared" si="22"/>
        <v>6.7680463611175697E-3</v>
      </c>
      <c r="W50" s="19">
        <f t="shared" si="23"/>
        <v>6.884527884676717E-3</v>
      </c>
      <c r="X50" s="19">
        <f t="shared" si="24"/>
        <v>5.7214849166731304E-3</v>
      </c>
      <c r="Y50" s="19">
        <f t="shared" si="25"/>
        <v>0.99237748969102013</v>
      </c>
      <c r="Z50" s="91">
        <f t="shared" si="26"/>
        <v>7.6336729976232282E-3</v>
      </c>
      <c r="AA50" s="19">
        <f t="shared" si="27"/>
        <v>4.9387015560143294E-3</v>
      </c>
      <c r="AB50" s="19">
        <f t="shared" si="28"/>
        <v>4.5337436158881311E-3</v>
      </c>
      <c r="AC50" s="19">
        <f t="shared" si="29"/>
        <v>5.5941358024691372E-3</v>
      </c>
      <c r="AD50" s="19">
        <f t="shared" si="30"/>
        <v>5.5080061754267618E-3</v>
      </c>
      <c r="AE50" s="23">
        <f>('Modelo AHP'!$U$37*aux!P50)+('Modelo AHP'!$U$38*aux!R50)+('Modelo AHP'!$U$39*aux!S50)</f>
        <v>6.4450074960091374E-3</v>
      </c>
      <c r="AF50" s="24">
        <f>aux!U50</f>
        <v>7.6266994318544556E-3</v>
      </c>
      <c r="AG50" s="23">
        <f>('Modelo AHP'!$U$47*aux!V50)+('Modelo AHP'!$U$48*aux!W50)+('Modelo AHP'!$U$49*aux!X50)</f>
        <v>6.4142900944507263E-3</v>
      </c>
      <c r="AH50" s="24">
        <f t="shared" si="31"/>
        <v>7.6336729976232282E-3</v>
      </c>
      <c r="AI50" s="23">
        <f>('Modelo AHP'!$U$56*aux!AA50)+('Modelo AHP'!$U$57*aux!AB50)+('Modelo AHP'!$U$58*aux!AC50)+('Modelo AHP'!$U$59*aux!AD50)</f>
        <v>4.951918362780563E-3</v>
      </c>
      <c r="AJ50" s="25">
        <f>('Modelo AHP'!$U$23*aux!AE50)+('Modelo AHP'!$U$24*aux!AF50)+('Modelo AHP'!$U$25*aux!AG50)+('Modelo AHP'!$U$26*aux!AH50)+('Modelo AHP'!$U$27*aux!AI50)</f>
        <v>6.7652958924017941E-3</v>
      </c>
    </row>
    <row r="51" spans="1:36">
      <c r="A51" s="248">
        <v>68</v>
      </c>
      <c r="B51" s="14" t="s">
        <v>62</v>
      </c>
      <c r="C51" s="15" t="s">
        <v>321</v>
      </c>
      <c r="D51" s="239">
        <v>8.34</v>
      </c>
      <c r="E51" s="240">
        <v>85.53</v>
      </c>
      <c r="F51" s="239">
        <v>43.074878849460681</v>
      </c>
      <c r="G51" s="241">
        <v>34259.867765766263</v>
      </c>
      <c r="H51" s="240">
        <v>7.11</v>
      </c>
      <c r="I51" s="240">
        <v>9.1549999999999994</v>
      </c>
      <c r="J51" s="239">
        <v>3.1354236157438291</v>
      </c>
      <c r="K51" s="116">
        <v>75033.09</v>
      </c>
      <c r="L51" s="112">
        <v>2.3938872821074025E-2</v>
      </c>
      <c r="M51" s="242">
        <v>498</v>
      </c>
      <c r="N51" s="112">
        <v>2.9000000000000001E-2</v>
      </c>
      <c r="O51" s="112">
        <v>3.4000000000000002E-2</v>
      </c>
      <c r="P51" s="19">
        <f t="shared" si="16"/>
        <v>7.0172486327303284E-3</v>
      </c>
      <c r="Q51" s="19">
        <f t="shared" si="17"/>
        <v>0.99230501402155458</v>
      </c>
      <c r="R51" s="19">
        <f t="shared" si="18"/>
        <v>7.6331154924735014E-3</v>
      </c>
      <c r="S51" s="19">
        <f t="shared" si="19"/>
        <v>9.0650874028647341E-3</v>
      </c>
      <c r="T51" s="19">
        <f t="shared" si="20"/>
        <v>0.9937138727719379</v>
      </c>
      <c r="U51" s="91">
        <f t="shared" si="21"/>
        <v>7.6439528674764473E-3</v>
      </c>
      <c r="V51" s="19">
        <f t="shared" si="22"/>
        <v>7.5188765043040506E-3</v>
      </c>
      <c r="W51" s="19">
        <f t="shared" si="23"/>
        <v>7.7860225798907145E-3</v>
      </c>
      <c r="X51" s="19">
        <f t="shared" si="24"/>
        <v>5.7214849166731304E-3</v>
      </c>
      <c r="Y51" s="19">
        <f t="shared" si="25"/>
        <v>0.99430682287729044</v>
      </c>
      <c r="Z51" s="91">
        <f t="shared" si="26"/>
        <v>7.6485140221329998E-3</v>
      </c>
      <c r="AA51" s="19">
        <f t="shared" si="27"/>
        <v>4.9387015560143294E-3</v>
      </c>
      <c r="AB51" s="19">
        <f t="shared" si="28"/>
        <v>4.5337436158881311E-3</v>
      </c>
      <c r="AC51" s="19">
        <f t="shared" si="29"/>
        <v>5.5941358024691372E-3</v>
      </c>
      <c r="AD51" s="19">
        <f t="shared" si="30"/>
        <v>5.5080061754267618E-3</v>
      </c>
      <c r="AE51" s="23">
        <f>('Modelo AHP'!$U$37*aux!P51)+('Modelo AHP'!$U$38*aux!R51)+('Modelo AHP'!$U$39*aux!S51)</f>
        <v>8.3075385807852894E-3</v>
      </c>
      <c r="AF51" s="24">
        <f>aux!U51</f>
        <v>7.6439528674764473E-3</v>
      </c>
      <c r="AG51" s="23">
        <f>('Modelo AHP'!$U$47*aux!V51)+('Modelo AHP'!$U$48*aux!W51)+('Modelo AHP'!$U$49*aux!X51)</f>
        <v>6.94107945434542E-3</v>
      </c>
      <c r="AH51" s="24">
        <f t="shared" si="31"/>
        <v>7.6485140221329998E-3</v>
      </c>
      <c r="AI51" s="23">
        <f>('Modelo AHP'!$U$56*aux!AA51)+('Modelo AHP'!$U$57*aux!AB51)+('Modelo AHP'!$U$58*aux!AC51)+('Modelo AHP'!$U$59*aux!AD51)</f>
        <v>4.951918362780563E-3</v>
      </c>
      <c r="AJ51" s="25">
        <f>('Modelo AHP'!$U$23*aux!AE51)+('Modelo AHP'!$U$24*aux!AF51)+('Modelo AHP'!$U$25*aux!AG51)+('Modelo AHP'!$U$26*aux!AH51)+('Modelo AHP'!$U$27*aux!AI51)</f>
        <v>7.2628233830312134E-3</v>
      </c>
    </row>
    <row r="52" spans="1:36">
      <c r="A52" s="248">
        <v>99</v>
      </c>
      <c r="B52" s="14" t="s">
        <v>62</v>
      </c>
      <c r="C52" s="15" t="s">
        <v>66</v>
      </c>
      <c r="D52" s="239">
        <v>3.16</v>
      </c>
      <c r="E52" s="240">
        <v>85.8</v>
      </c>
      <c r="F52" s="239">
        <v>23.109137513989676</v>
      </c>
      <c r="G52" s="241">
        <v>59243.286056378725</v>
      </c>
      <c r="H52" s="240">
        <v>5.16</v>
      </c>
      <c r="I52" s="240">
        <v>6.59</v>
      </c>
      <c r="J52" s="239">
        <v>3.1354236157438291</v>
      </c>
      <c r="K52" s="116">
        <v>96062.43</v>
      </c>
      <c r="L52" s="112">
        <v>2.3938872821074025E-2</v>
      </c>
      <c r="M52" s="242">
        <v>498</v>
      </c>
      <c r="N52" s="112">
        <v>2.9000000000000001E-2</v>
      </c>
      <c r="O52" s="112">
        <v>3.4000000000000002E-2</v>
      </c>
      <c r="P52" s="19">
        <f t="shared" si="16"/>
        <v>2.6588136306268393E-3</v>
      </c>
      <c r="Q52" s="19">
        <f t="shared" si="17"/>
        <v>0.99228072258914279</v>
      </c>
      <c r="R52" s="19">
        <f t="shared" si="18"/>
        <v>7.6329286353011032E-3</v>
      </c>
      <c r="S52" s="19">
        <f t="shared" si="19"/>
        <v>4.8633068035143076E-3</v>
      </c>
      <c r="T52" s="19">
        <f t="shared" si="20"/>
        <v>0.98912982279718531</v>
      </c>
      <c r="U52" s="91">
        <f t="shared" si="21"/>
        <v>7.6086909445937352E-3</v>
      </c>
      <c r="V52" s="19">
        <f t="shared" si="22"/>
        <v>5.4567373786510408E-3</v>
      </c>
      <c r="W52" s="19">
        <f t="shared" si="23"/>
        <v>5.6045755108115576E-3</v>
      </c>
      <c r="X52" s="19">
        <f t="shared" si="24"/>
        <v>5.7214849166731304E-3</v>
      </c>
      <c r="Y52" s="19">
        <f t="shared" si="25"/>
        <v>0.9927112100964004</v>
      </c>
      <c r="Z52" s="91">
        <f t="shared" si="26"/>
        <v>7.6362400776646151E-3</v>
      </c>
      <c r="AA52" s="19">
        <f t="shared" si="27"/>
        <v>4.9387015560143294E-3</v>
      </c>
      <c r="AB52" s="19">
        <f t="shared" si="28"/>
        <v>4.5337436158881311E-3</v>
      </c>
      <c r="AC52" s="19">
        <f t="shared" si="29"/>
        <v>5.5941358024691372E-3</v>
      </c>
      <c r="AD52" s="19">
        <f t="shared" si="30"/>
        <v>5.5080061754267618E-3</v>
      </c>
      <c r="AE52" s="23">
        <f>('Modelo AHP'!$U$37*aux!P52)+('Modelo AHP'!$U$38*aux!R52)+('Modelo AHP'!$U$39*aux!S52)</f>
        <v>4.4789210348267459E-3</v>
      </c>
      <c r="AF52" s="24">
        <f>aux!U52</f>
        <v>7.6086909445937352E-3</v>
      </c>
      <c r="AG52" s="23">
        <f>('Modelo AHP'!$U$47*aux!V52)+('Modelo AHP'!$U$48*aux!W52)+('Modelo AHP'!$U$49*aux!X52)</f>
        <v>5.624848632268727E-3</v>
      </c>
      <c r="AH52" s="24">
        <f t="shared" si="31"/>
        <v>7.6362400776646151E-3</v>
      </c>
      <c r="AI52" s="23">
        <f>('Modelo AHP'!$U$56*aux!AA52)+('Modelo AHP'!$U$57*aux!AB52)+('Modelo AHP'!$U$58*aux!AC52)+('Modelo AHP'!$U$59*aux!AD52)</f>
        <v>4.951918362780563E-3</v>
      </c>
      <c r="AJ52" s="25">
        <f>('Modelo AHP'!$U$23*aux!AE52)+('Modelo AHP'!$U$24*aux!AF52)+('Modelo AHP'!$U$25*aux!AG52)+('Modelo AHP'!$U$26*aux!AH52)+('Modelo AHP'!$U$27*aux!AI52)</f>
        <v>6.1617962425814573E-3</v>
      </c>
    </row>
    <row r="53" spans="1:36">
      <c r="A53" s="248">
        <v>84</v>
      </c>
      <c r="B53" s="14" t="s">
        <v>62</v>
      </c>
      <c r="C53" s="15" t="s">
        <v>67</v>
      </c>
      <c r="D53" s="239">
        <v>8.01</v>
      </c>
      <c r="E53" s="240">
        <v>84.65</v>
      </c>
      <c r="F53" s="239">
        <v>29.866802096077933</v>
      </c>
      <c r="G53" s="241">
        <v>43897.86647519769</v>
      </c>
      <c r="H53" s="240">
        <v>6.44</v>
      </c>
      <c r="I53" s="240">
        <v>7.915</v>
      </c>
      <c r="J53" s="239">
        <v>3.1354236157438291</v>
      </c>
      <c r="K53" s="116">
        <v>84306.14</v>
      </c>
      <c r="L53" s="112">
        <v>2.3938872821074025E-2</v>
      </c>
      <c r="M53" s="242">
        <v>498</v>
      </c>
      <c r="N53" s="112">
        <v>2.9000000000000001E-2</v>
      </c>
      <c r="O53" s="112">
        <v>3.4000000000000002E-2</v>
      </c>
      <c r="P53" s="19">
        <f t="shared" si="16"/>
        <v>6.7395877156079054E-3</v>
      </c>
      <c r="Q53" s="19">
        <f t="shared" si="17"/>
        <v>0.9923841860975634</v>
      </c>
      <c r="R53" s="19">
        <f t="shared" si="18"/>
        <v>7.6337245084428006E-3</v>
      </c>
      <c r="S53" s="19">
        <f t="shared" si="19"/>
        <v>6.2854540436716741E-3</v>
      </c>
      <c r="T53" s="19">
        <f t="shared" si="20"/>
        <v>0.99194545712814119</v>
      </c>
      <c r="U53" s="91">
        <f t="shared" si="21"/>
        <v>7.6303496702164724E-3</v>
      </c>
      <c r="V53" s="19">
        <f t="shared" si="22"/>
        <v>6.8103466508745549E-3</v>
      </c>
      <c r="W53" s="19">
        <f t="shared" si="23"/>
        <v>6.7314438798290561E-3</v>
      </c>
      <c r="X53" s="19">
        <f t="shared" si="24"/>
        <v>5.7214849166731304E-3</v>
      </c>
      <c r="Y53" s="19">
        <f t="shared" si="25"/>
        <v>0.9936032250897312</v>
      </c>
      <c r="Z53" s="91">
        <f t="shared" si="26"/>
        <v>7.643101731459467E-3</v>
      </c>
      <c r="AA53" s="19">
        <f t="shared" si="27"/>
        <v>4.9387015560143294E-3</v>
      </c>
      <c r="AB53" s="19">
        <f t="shared" si="28"/>
        <v>4.5337436158881311E-3</v>
      </c>
      <c r="AC53" s="19">
        <f t="shared" si="29"/>
        <v>5.5941358024691372E-3</v>
      </c>
      <c r="AD53" s="19">
        <f t="shared" si="30"/>
        <v>5.5080061754267618E-3</v>
      </c>
      <c r="AE53" s="23">
        <f>('Modelo AHP'!$U$37*aux!P53)+('Modelo AHP'!$U$38*aux!R53)+('Modelo AHP'!$U$39*aux!S53)</f>
        <v>6.5565211917296556E-3</v>
      </c>
      <c r="AF53" s="24">
        <f>aux!U53</f>
        <v>7.6303496702164724E-3</v>
      </c>
      <c r="AG53" s="23">
        <f>('Modelo AHP'!$U$47*aux!V53)+('Modelo AHP'!$U$48*aux!W53)+('Modelo AHP'!$U$49*aux!X53)</f>
        <v>6.3535653934916891E-3</v>
      </c>
      <c r="AH53" s="24">
        <f t="shared" si="31"/>
        <v>7.643101731459467E-3</v>
      </c>
      <c r="AI53" s="23">
        <f>('Modelo AHP'!$U$56*aux!AA53)+('Modelo AHP'!$U$57*aux!AB53)+('Modelo AHP'!$U$58*aux!AC53)+('Modelo AHP'!$U$59*aux!AD53)</f>
        <v>4.951918362780563E-3</v>
      </c>
      <c r="AJ53" s="25">
        <f>('Modelo AHP'!$U$23*aux!AE53)+('Modelo AHP'!$U$24*aux!AF53)+('Modelo AHP'!$U$25*aux!AG53)+('Modelo AHP'!$U$26*aux!AH53)+('Modelo AHP'!$U$27*aux!AI53)</f>
        <v>6.7650408784539953E-3</v>
      </c>
    </row>
    <row r="54" spans="1:36">
      <c r="A54" s="248">
        <v>118</v>
      </c>
      <c r="B54" s="14" t="s">
        <v>62</v>
      </c>
      <c r="C54" s="15" t="s">
        <v>68</v>
      </c>
      <c r="D54" s="239">
        <v>2.25</v>
      </c>
      <c r="E54" s="240">
        <v>84.41</v>
      </c>
      <c r="F54" s="239">
        <v>15.035951579138983</v>
      </c>
      <c r="G54" s="241">
        <v>69353.135084250243</v>
      </c>
      <c r="H54" s="240">
        <v>4.04</v>
      </c>
      <c r="I54" s="240">
        <v>5.24</v>
      </c>
      <c r="J54" s="239">
        <v>3.1354236157438291</v>
      </c>
      <c r="K54" s="116">
        <v>137984.76999999999</v>
      </c>
      <c r="L54" s="112">
        <v>2.3938872821074025E-2</v>
      </c>
      <c r="M54" s="242">
        <v>498</v>
      </c>
      <c r="N54" s="112">
        <v>2.9000000000000001E-2</v>
      </c>
      <c r="O54" s="112">
        <v>3.4000000000000002E-2</v>
      </c>
      <c r="P54" s="19">
        <f t="shared" si="16"/>
        <v>1.8931426167437936E-3</v>
      </c>
      <c r="Q54" s="19">
        <f t="shared" si="17"/>
        <v>0.99240577848192946</v>
      </c>
      <c r="R54" s="19">
        <f t="shared" si="18"/>
        <v>7.6338906037071545E-3</v>
      </c>
      <c r="S54" s="19">
        <f t="shared" si="19"/>
        <v>3.1643087314648004E-3</v>
      </c>
      <c r="T54" s="19">
        <f t="shared" si="20"/>
        <v>0.98727483031209462</v>
      </c>
      <c r="U54" s="91">
        <f t="shared" si="21"/>
        <v>7.5944217716314988E-3</v>
      </c>
      <c r="V54" s="19">
        <f t="shared" si="22"/>
        <v>4.2723292654554658E-3</v>
      </c>
      <c r="W54" s="19">
        <f t="shared" si="23"/>
        <v>4.4564454744541069E-3</v>
      </c>
      <c r="X54" s="19">
        <f t="shared" si="24"/>
        <v>5.7214849166731304E-3</v>
      </c>
      <c r="Y54" s="19">
        <f t="shared" si="25"/>
        <v>0.98953032940738106</v>
      </c>
      <c r="Z54" s="91">
        <f t="shared" si="26"/>
        <v>7.6117717646721587E-3</v>
      </c>
      <c r="AA54" s="19">
        <f t="shared" si="27"/>
        <v>4.9387015560143294E-3</v>
      </c>
      <c r="AB54" s="19">
        <f t="shared" si="28"/>
        <v>4.5337436158881311E-3</v>
      </c>
      <c r="AC54" s="19">
        <f t="shared" si="29"/>
        <v>5.5941358024691372E-3</v>
      </c>
      <c r="AD54" s="19">
        <f t="shared" si="30"/>
        <v>5.5080061754267618E-3</v>
      </c>
      <c r="AE54" s="23">
        <f>('Modelo AHP'!$U$37*aux!P54)+('Modelo AHP'!$U$38*aux!R54)+('Modelo AHP'!$U$39*aux!S54)</f>
        <v>3.2299170842727339E-3</v>
      </c>
      <c r="AF54" s="24">
        <f>aux!U54</f>
        <v>7.5944217716314988E-3</v>
      </c>
      <c r="AG54" s="23">
        <f>('Modelo AHP'!$U$47*aux!V54)+('Modelo AHP'!$U$48*aux!W54)+('Modelo AHP'!$U$49*aux!X54)</f>
        <v>4.9153326435510333E-3</v>
      </c>
      <c r="AH54" s="24">
        <f t="shared" si="31"/>
        <v>7.6117717646721587E-3</v>
      </c>
      <c r="AI54" s="23">
        <f>('Modelo AHP'!$U$56*aux!AA54)+('Modelo AHP'!$U$57*aux!AB54)+('Modelo AHP'!$U$58*aux!AC54)+('Modelo AHP'!$U$59*aux!AD54)</f>
        <v>4.951918362780563E-3</v>
      </c>
      <c r="AJ54" s="25">
        <f>('Modelo AHP'!$U$23*aux!AE54)+('Modelo AHP'!$U$24*aux!AF54)+('Modelo AHP'!$U$25*aux!AG54)+('Modelo AHP'!$U$26*aux!AH54)+('Modelo AHP'!$U$27*aux!AI54)</f>
        <v>5.7044540803562497E-3</v>
      </c>
    </row>
    <row r="55" spans="1:36">
      <c r="A55" s="248">
        <v>121</v>
      </c>
      <c r="B55" s="14" t="s">
        <v>62</v>
      </c>
      <c r="C55" s="15" t="s">
        <v>69</v>
      </c>
      <c r="D55" s="239">
        <v>2.39</v>
      </c>
      <c r="E55" s="240">
        <v>102.95</v>
      </c>
      <c r="F55" s="239">
        <v>14.933854212909527</v>
      </c>
      <c r="G55" s="241">
        <v>60055.593944140215</v>
      </c>
      <c r="H55" s="240">
        <v>3.6</v>
      </c>
      <c r="I55" s="240">
        <v>4.97</v>
      </c>
      <c r="J55" s="239">
        <v>3.1354236157438291</v>
      </c>
      <c r="K55" s="116">
        <v>82361.86</v>
      </c>
      <c r="L55" s="112">
        <v>2.3938872821074025E-2</v>
      </c>
      <c r="M55" s="242">
        <v>498</v>
      </c>
      <c r="N55" s="112">
        <v>2.9000000000000001E-2</v>
      </c>
      <c r="O55" s="112">
        <v>3.4000000000000002E-2</v>
      </c>
      <c r="P55" s="19">
        <f t="shared" si="16"/>
        <v>2.0109381573411855E-3</v>
      </c>
      <c r="Q55" s="19">
        <f t="shared" si="17"/>
        <v>0.99073776678965331</v>
      </c>
      <c r="R55" s="19">
        <f t="shared" si="18"/>
        <v>7.6210597445357997E-3</v>
      </c>
      <c r="S55" s="19">
        <f t="shared" si="19"/>
        <v>3.1428223901634857E-3</v>
      </c>
      <c r="T55" s="19">
        <f t="shared" si="20"/>
        <v>0.9889807775420858</v>
      </c>
      <c r="U55" s="91">
        <f t="shared" si="21"/>
        <v>7.6075444426314306E-3</v>
      </c>
      <c r="V55" s="19">
        <f t="shared" si="22"/>
        <v>3.8070260781286332E-3</v>
      </c>
      <c r="W55" s="19">
        <f t="shared" si="23"/>
        <v>4.2268194671826161E-3</v>
      </c>
      <c r="X55" s="19">
        <f t="shared" si="24"/>
        <v>5.7214849166731304E-3</v>
      </c>
      <c r="Y55" s="19">
        <f t="shared" si="25"/>
        <v>0.99375074840799171</v>
      </c>
      <c r="Z55" s="91">
        <f t="shared" si="26"/>
        <v>7.6442365262153174E-3</v>
      </c>
      <c r="AA55" s="19">
        <f t="shared" si="27"/>
        <v>4.9387015560143294E-3</v>
      </c>
      <c r="AB55" s="19">
        <f t="shared" si="28"/>
        <v>4.5337436158881311E-3</v>
      </c>
      <c r="AC55" s="19">
        <f t="shared" si="29"/>
        <v>5.5941358024691372E-3</v>
      </c>
      <c r="AD55" s="19">
        <f t="shared" si="30"/>
        <v>5.5080061754267618E-3</v>
      </c>
      <c r="AE55" s="23">
        <f>('Modelo AHP'!$U$37*aux!P55)+('Modelo AHP'!$U$38*aux!R55)+('Modelo AHP'!$U$39*aux!S55)</f>
        <v>3.251080855754027E-3</v>
      </c>
      <c r="AF55" s="24">
        <f>aux!U55</f>
        <v>7.6075444426314306E-3</v>
      </c>
      <c r="AG55" s="23">
        <f>('Modelo AHP'!$U$47*aux!V55)+('Modelo AHP'!$U$48*aux!W55)+('Modelo AHP'!$U$49*aux!X55)</f>
        <v>4.7347805458008889E-3</v>
      </c>
      <c r="AH55" s="24">
        <f t="shared" si="31"/>
        <v>7.6442365262153174E-3</v>
      </c>
      <c r="AI55" s="23">
        <f>('Modelo AHP'!$U$56*aux!AA55)+('Modelo AHP'!$U$57*aux!AB55)+('Modelo AHP'!$U$58*aux!AC55)+('Modelo AHP'!$U$59*aux!AD55)</f>
        <v>4.951918362780563E-3</v>
      </c>
      <c r="AJ55" s="25">
        <f>('Modelo AHP'!$U$23*aux!AE55)+('Modelo AHP'!$U$24*aux!AF55)+('Modelo AHP'!$U$25*aux!AG55)+('Modelo AHP'!$U$26*aux!AH55)+('Modelo AHP'!$U$27*aux!AI55)</f>
        <v>5.6529601020967601E-3</v>
      </c>
    </row>
    <row r="56" spans="1:36">
      <c r="A56" s="248">
        <v>89</v>
      </c>
      <c r="B56" s="14" t="s">
        <v>70</v>
      </c>
      <c r="C56" s="15" t="s">
        <v>71</v>
      </c>
      <c r="D56" s="239">
        <v>4.55</v>
      </c>
      <c r="E56" s="240">
        <v>81.2</v>
      </c>
      <c r="F56" s="239">
        <v>27.466842253786098</v>
      </c>
      <c r="G56" s="241">
        <v>55237.794579954585</v>
      </c>
      <c r="H56" s="240">
        <v>6.7</v>
      </c>
      <c r="I56" s="240">
        <v>8.745000000000001</v>
      </c>
      <c r="J56" s="239">
        <v>2.8073860836639954</v>
      </c>
      <c r="K56" s="116">
        <v>93028.53</v>
      </c>
      <c r="L56" s="112">
        <v>2.5117559353136826E-2</v>
      </c>
      <c r="M56" s="242">
        <v>245</v>
      </c>
      <c r="N56" s="112">
        <v>2.3E-2</v>
      </c>
      <c r="O56" s="112">
        <v>2.9000000000000001E-2</v>
      </c>
      <c r="P56" s="19">
        <f t="shared" si="16"/>
        <v>3.8283550694152269E-3</v>
      </c>
      <c r="Q56" s="19">
        <f t="shared" si="17"/>
        <v>0.99269457662282512</v>
      </c>
      <c r="R56" s="19">
        <f t="shared" si="18"/>
        <v>7.6361121278678903E-3</v>
      </c>
      <c r="S56" s="19">
        <f t="shared" si="19"/>
        <v>5.7803836565958585E-3</v>
      </c>
      <c r="T56" s="19">
        <f t="shared" si="20"/>
        <v>0.9898647651852841</v>
      </c>
      <c r="U56" s="91">
        <f t="shared" si="21"/>
        <v>7.6143443475791099E-3</v>
      </c>
      <c r="V56" s="19">
        <f t="shared" si="22"/>
        <v>7.0852985342949558E-3</v>
      </c>
      <c r="W56" s="19">
        <f t="shared" si="23"/>
        <v>7.4373312355154901E-3</v>
      </c>
      <c r="X56" s="19">
        <f t="shared" si="24"/>
        <v>5.1228858047466892E-3</v>
      </c>
      <c r="Y56" s="19">
        <f t="shared" si="25"/>
        <v>0.99294140893364125</v>
      </c>
      <c r="Z56" s="91">
        <f t="shared" si="26"/>
        <v>7.6380108379510833E-3</v>
      </c>
      <c r="AA56" s="19">
        <f t="shared" si="27"/>
        <v>5.1818701067418782E-3</v>
      </c>
      <c r="AB56" s="19">
        <f t="shared" si="28"/>
        <v>2.2304561965714701E-3</v>
      </c>
      <c r="AC56" s="19">
        <f t="shared" si="29"/>
        <v>4.436728395061729E-3</v>
      </c>
      <c r="AD56" s="19">
        <f t="shared" si="30"/>
        <v>4.6980052672757674E-3</v>
      </c>
      <c r="AE56" s="23">
        <f>('Modelo AHP'!$U$37*aux!P56)+('Modelo AHP'!$U$38*aux!R56)+('Modelo AHP'!$U$39*aux!S56)</f>
        <v>5.3803479275688721E-3</v>
      </c>
      <c r="AF56" s="24">
        <f>aux!U56</f>
        <v>7.6143443475791099E-3</v>
      </c>
      <c r="AG56" s="23">
        <f>('Modelo AHP'!$U$47*aux!V56)+('Modelo AHP'!$U$48*aux!W56)+('Modelo AHP'!$U$49*aux!X56)</f>
        <v>6.4812182788601749E-3</v>
      </c>
      <c r="AH56" s="24">
        <f t="shared" si="31"/>
        <v>7.6380108379510833E-3</v>
      </c>
      <c r="AI56" s="23">
        <f>('Modelo AHP'!$U$56*aux!AA56)+('Modelo AHP'!$U$57*aux!AB56)+('Modelo AHP'!$U$58*aux!AC56)+('Modelo AHP'!$U$59*aux!AD56)</f>
        <v>3.5026876219161345E-3</v>
      </c>
      <c r="AJ56" s="25">
        <f>('Modelo AHP'!$U$23*aux!AE56)+('Modelo AHP'!$U$24*aux!AF56)+('Modelo AHP'!$U$25*aux!AG56)+('Modelo AHP'!$U$26*aux!AH56)+('Modelo AHP'!$U$27*aux!AI56)</f>
        <v>6.4711562114550519E-3</v>
      </c>
    </row>
    <row r="57" spans="1:36">
      <c r="A57" s="248">
        <v>103</v>
      </c>
      <c r="B57" s="14" t="s">
        <v>70</v>
      </c>
      <c r="C57" s="15" t="s">
        <v>72</v>
      </c>
      <c r="D57" s="239">
        <v>7.14</v>
      </c>
      <c r="E57" s="240">
        <v>86.67</v>
      </c>
      <c r="F57" s="239">
        <v>19.905717761557177</v>
      </c>
      <c r="G57" s="241">
        <v>52002.947036629535</v>
      </c>
      <c r="H57" s="240">
        <v>5.18</v>
      </c>
      <c r="I57" s="240">
        <v>6.835</v>
      </c>
      <c r="J57" s="239">
        <v>2.8073860836639954</v>
      </c>
      <c r="K57" s="116">
        <v>200588.79999999999</v>
      </c>
      <c r="L57" s="112">
        <v>2.5117559353136826E-2</v>
      </c>
      <c r="M57" s="242">
        <v>245</v>
      </c>
      <c r="N57" s="112">
        <v>2.3E-2</v>
      </c>
      <c r="O57" s="112">
        <v>2.9000000000000001E-2</v>
      </c>
      <c r="P57" s="19">
        <f t="shared" si="16"/>
        <v>6.0075725704669715E-3</v>
      </c>
      <c r="Q57" s="19">
        <f t="shared" si="17"/>
        <v>0.99220245019581599</v>
      </c>
      <c r="R57" s="19">
        <f t="shared" si="18"/>
        <v>7.6323265399678205E-3</v>
      </c>
      <c r="S57" s="19">
        <f t="shared" si="19"/>
        <v>4.1891486672755215E-3</v>
      </c>
      <c r="T57" s="19">
        <f t="shared" si="20"/>
        <v>0.9904583069747549</v>
      </c>
      <c r="U57" s="91">
        <f t="shared" si="21"/>
        <v>7.6189100536519627E-3</v>
      </c>
      <c r="V57" s="19">
        <f t="shared" si="22"/>
        <v>5.477887523529533E-3</v>
      </c>
      <c r="W57" s="19">
        <f t="shared" si="23"/>
        <v>5.8129398507430954E-3</v>
      </c>
      <c r="X57" s="19">
        <f t="shared" si="24"/>
        <v>5.1228858047466892E-3</v>
      </c>
      <c r="Y57" s="19">
        <f t="shared" si="25"/>
        <v>0.98478021407312755</v>
      </c>
      <c r="Z57" s="91">
        <f t="shared" si="26"/>
        <v>7.5752324159471321E-3</v>
      </c>
      <c r="AA57" s="19">
        <f t="shared" si="27"/>
        <v>5.1818701067418782E-3</v>
      </c>
      <c r="AB57" s="19">
        <f t="shared" si="28"/>
        <v>2.2304561965714701E-3</v>
      </c>
      <c r="AC57" s="19">
        <f t="shared" si="29"/>
        <v>4.436728395061729E-3</v>
      </c>
      <c r="AD57" s="19">
        <f t="shared" si="30"/>
        <v>4.6980052672757674E-3</v>
      </c>
      <c r="AE57" s="23">
        <f>('Modelo AHP'!$U$37*aux!P57)+('Modelo AHP'!$U$38*aux!R57)+('Modelo AHP'!$U$39*aux!S57)</f>
        <v>5.078993625502186E-3</v>
      </c>
      <c r="AF57" s="24">
        <f>aux!U57</f>
        <v>7.6189100536519627E-3</v>
      </c>
      <c r="AG57" s="23">
        <f>('Modelo AHP'!$U$47*aux!V57)+('Modelo AHP'!$U$48*aux!W57)+('Modelo AHP'!$U$49*aux!X57)</f>
        <v>5.4889421052497639E-3</v>
      </c>
      <c r="AH57" s="24">
        <f t="shared" si="31"/>
        <v>7.5752324159471321E-3</v>
      </c>
      <c r="AI57" s="23">
        <f>('Modelo AHP'!$U$56*aux!AA57)+('Modelo AHP'!$U$57*aux!AB57)+('Modelo AHP'!$U$58*aux!AC57)+('Modelo AHP'!$U$59*aux!AD57)</f>
        <v>3.5026876219161345E-3</v>
      </c>
      <c r="AJ57" s="25">
        <f>('Modelo AHP'!$U$23*aux!AE57)+('Modelo AHP'!$U$24*aux!AF57)+('Modelo AHP'!$U$25*aux!AG57)+('Modelo AHP'!$U$26*aux!AH57)+('Modelo AHP'!$U$27*aux!AI57)</f>
        <v>6.0785335060592697E-3</v>
      </c>
    </row>
    <row r="58" spans="1:36">
      <c r="A58" s="248">
        <v>114</v>
      </c>
      <c r="B58" s="14" t="s">
        <v>70</v>
      </c>
      <c r="C58" s="15" t="s">
        <v>73</v>
      </c>
      <c r="D58" s="239">
        <v>6.67</v>
      </c>
      <c r="E58" s="240">
        <v>86.41</v>
      </c>
      <c r="F58" s="239">
        <v>17.638646114730655</v>
      </c>
      <c r="G58" s="241">
        <v>61443.988350595595</v>
      </c>
      <c r="H58" s="240">
        <v>4.29</v>
      </c>
      <c r="I58" s="240">
        <v>5.8149999999999995</v>
      </c>
      <c r="J58" s="239">
        <v>2.8073860836639954</v>
      </c>
      <c r="K58" s="116">
        <v>153777.20000000001</v>
      </c>
      <c r="L58" s="112">
        <v>2.5117559353136826E-2</v>
      </c>
      <c r="M58" s="242">
        <v>245</v>
      </c>
      <c r="N58" s="112">
        <v>2.3E-2</v>
      </c>
      <c r="O58" s="112">
        <v>2.9000000000000001E-2</v>
      </c>
      <c r="P58" s="19">
        <f t="shared" si="16"/>
        <v>5.6121161127471574E-3</v>
      </c>
      <c r="Q58" s="19">
        <f t="shared" si="17"/>
        <v>0.99222584194554575</v>
      </c>
      <c r="R58" s="19">
        <f t="shared" si="18"/>
        <v>7.6325064765042031E-3</v>
      </c>
      <c r="S58" s="19">
        <f t="shared" si="19"/>
        <v>3.7120445366089711E-3</v>
      </c>
      <c r="T58" s="19">
        <f t="shared" si="20"/>
        <v>0.9887260298022118</v>
      </c>
      <c r="U58" s="91">
        <f t="shared" si="21"/>
        <v>7.6055848446323999E-3</v>
      </c>
      <c r="V58" s="19">
        <f t="shared" si="22"/>
        <v>4.5367060764366206E-3</v>
      </c>
      <c r="W58" s="19">
        <f t="shared" si="23"/>
        <v>4.9454638232730207E-3</v>
      </c>
      <c r="X58" s="19">
        <f t="shared" si="24"/>
        <v>5.1228858047466892E-3</v>
      </c>
      <c r="Y58" s="19">
        <f t="shared" si="25"/>
        <v>0.98833207006356361</v>
      </c>
      <c r="Z58" s="91">
        <f t="shared" si="26"/>
        <v>7.6025543851043322E-3</v>
      </c>
      <c r="AA58" s="19">
        <f t="shared" si="27"/>
        <v>5.1818701067418782E-3</v>
      </c>
      <c r="AB58" s="19">
        <f t="shared" si="28"/>
        <v>2.2304561965714701E-3</v>
      </c>
      <c r="AC58" s="19">
        <f t="shared" si="29"/>
        <v>4.436728395061729E-3</v>
      </c>
      <c r="AD58" s="19">
        <f t="shared" si="30"/>
        <v>4.6980052672757674E-3</v>
      </c>
      <c r="AE58" s="23">
        <f>('Modelo AHP'!$U$37*aux!P58)+('Modelo AHP'!$U$38*aux!R58)+('Modelo AHP'!$U$39*aux!S58)</f>
        <v>4.67411220343995E-3</v>
      </c>
      <c r="AF58" s="24">
        <f>aux!U58</f>
        <v>7.6055848446323999E-3</v>
      </c>
      <c r="AG58" s="23">
        <f>('Modelo AHP'!$U$47*aux!V58)+('Modelo AHP'!$U$48*aux!W58)+('Modelo AHP'!$U$49*aux!X58)</f>
        <v>4.9450301963860025E-3</v>
      </c>
      <c r="AH58" s="24">
        <f t="shared" si="31"/>
        <v>7.6025543851043322E-3</v>
      </c>
      <c r="AI58" s="23">
        <f>('Modelo AHP'!$U$56*aux!AA58)+('Modelo AHP'!$U$57*aux!AB58)+('Modelo AHP'!$U$58*aux!AC58)+('Modelo AHP'!$U$59*aux!AD58)</f>
        <v>3.5026876219161345E-3</v>
      </c>
      <c r="AJ58" s="25">
        <f>('Modelo AHP'!$U$23*aux!AE58)+('Modelo AHP'!$U$24*aux!AF58)+('Modelo AHP'!$U$25*aux!AG58)+('Modelo AHP'!$U$26*aux!AH58)+('Modelo AHP'!$U$27*aux!AI58)</f>
        <v>5.8228505268202672E-3</v>
      </c>
    </row>
    <row r="59" spans="1:36">
      <c r="A59" s="248">
        <v>80</v>
      </c>
      <c r="B59" s="14" t="s">
        <v>70</v>
      </c>
      <c r="C59" s="15" t="s">
        <v>74</v>
      </c>
      <c r="D59" s="239">
        <v>8.44</v>
      </c>
      <c r="E59" s="240">
        <v>85.01</v>
      </c>
      <c r="F59" s="239">
        <v>39.101554183521394</v>
      </c>
      <c r="G59" s="241">
        <v>35550.042138920595</v>
      </c>
      <c r="H59" s="240">
        <v>7.4</v>
      </c>
      <c r="I59" s="240">
        <v>8.870000000000001</v>
      </c>
      <c r="J59" s="239">
        <v>2.8073860836639954</v>
      </c>
      <c r="K59" s="116">
        <v>81626.81</v>
      </c>
      <c r="L59" s="112">
        <v>2.5117559353136826E-2</v>
      </c>
      <c r="M59" s="242">
        <v>245</v>
      </c>
      <c r="N59" s="112">
        <v>2.3E-2</v>
      </c>
      <c r="O59" s="112">
        <v>2.9000000000000001E-2</v>
      </c>
      <c r="P59" s="19">
        <f t="shared" si="16"/>
        <v>7.1013883045856077E-3</v>
      </c>
      <c r="Q59" s="19">
        <f t="shared" si="17"/>
        <v>0.99235179752101432</v>
      </c>
      <c r="R59" s="19">
        <f t="shared" si="18"/>
        <v>7.6334753655462693E-3</v>
      </c>
      <c r="S59" s="19">
        <f t="shared" si="19"/>
        <v>8.2289031502618057E-3</v>
      </c>
      <c r="T59" s="19">
        <f t="shared" si="20"/>
        <v>0.99347714680698429</v>
      </c>
      <c r="U59" s="91">
        <f t="shared" si="21"/>
        <v>7.6421318985152656E-3</v>
      </c>
      <c r="V59" s="19">
        <f t="shared" si="22"/>
        <v>7.8255536050421907E-3</v>
      </c>
      <c r="W59" s="19">
        <f t="shared" si="23"/>
        <v>7.5436395722152539E-3</v>
      </c>
      <c r="X59" s="19">
        <f t="shared" si="24"/>
        <v>5.1228858047466892E-3</v>
      </c>
      <c r="Y59" s="19">
        <f t="shared" si="25"/>
        <v>0.99380652073249609</v>
      </c>
      <c r="Z59" s="91">
        <f t="shared" si="26"/>
        <v>7.6446655440961207E-3</v>
      </c>
      <c r="AA59" s="19">
        <f t="shared" si="27"/>
        <v>5.1818701067418782E-3</v>
      </c>
      <c r="AB59" s="19">
        <f t="shared" si="28"/>
        <v>2.2304561965714701E-3</v>
      </c>
      <c r="AC59" s="19">
        <f t="shared" si="29"/>
        <v>4.436728395061729E-3</v>
      </c>
      <c r="AD59" s="19">
        <f t="shared" si="30"/>
        <v>4.6980052672757674E-3</v>
      </c>
      <c r="AE59" s="23">
        <f>('Modelo AHP'!$U$37*aux!P59)+('Modelo AHP'!$U$38*aux!R59)+('Modelo AHP'!$U$39*aux!S59)</f>
        <v>7.8311059180873922E-3</v>
      </c>
      <c r="AF59" s="24">
        <f>aux!U59</f>
        <v>7.6421318985152656E-3</v>
      </c>
      <c r="AG59" s="23">
        <f>('Modelo AHP'!$U$47*aux!V59)+('Modelo AHP'!$U$48*aux!W59)+('Modelo AHP'!$U$49*aux!X59)</f>
        <v>6.6536095552685946E-3</v>
      </c>
      <c r="AH59" s="24">
        <f t="shared" si="31"/>
        <v>7.6446655440961207E-3</v>
      </c>
      <c r="AI59" s="23">
        <f>('Modelo AHP'!$U$56*aux!AA59)+('Modelo AHP'!$U$57*aux!AB59)+('Modelo AHP'!$U$58*aux!AC59)+('Modelo AHP'!$U$59*aux!AD59)</f>
        <v>3.5026876219161345E-3</v>
      </c>
      <c r="AJ59" s="25">
        <f>('Modelo AHP'!$U$23*aux!AE59)+('Modelo AHP'!$U$24*aux!AF59)+('Modelo AHP'!$U$25*aux!AG59)+('Modelo AHP'!$U$26*aux!AH59)+('Modelo AHP'!$U$27*aux!AI59)</f>
        <v>6.9485262686040782E-3</v>
      </c>
    </row>
    <row r="60" spans="1:36">
      <c r="A60" s="248">
        <v>127</v>
      </c>
      <c r="B60" s="14" t="s">
        <v>70</v>
      </c>
      <c r="C60" s="15" t="s">
        <v>75</v>
      </c>
      <c r="D60" s="239">
        <v>5.9</v>
      </c>
      <c r="E60" s="240">
        <v>83.49</v>
      </c>
      <c r="F60" s="239">
        <v>14.090909090909092</v>
      </c>
      <c r="G60" s="241">
        <v>88034.930533867577</v>
      </c>
      <c r="H60" s="240">
        <v>3.34</v>
      </c>
      <c r="I60" s="240">
        <v>4.6050000000000004</v>
      </c>
      <c r="J60" s="239">
        <v>2.8073860836639954</v>
      </c>
      <c r="K60" s="116">
        <v>201101.71</v>
      </c>
      <c r="L60" s="112">
        <v>2.5117559353136826E-2</v>
      </c>
      <c r="M60" s="242">
        <v>245</v>
      </c>
      <c r="N60" s="112">
        <v>2.3E-2</v>
      </c>
      <c r="O60" s="112">
        <v>2.9000000000000001E-2</v>
      </c>
      <c r="P60" s="19">
        <f t="shared" si="16"/>
        <v>4.9642406394615037E-3</v>
      </c>
      <c r="Q60" s="19">
        <f t="shared" si="17"/>
        <v>0.99248854928866592</v>
      </c>
      <c r="R60" s="19">
        <f t="shared" si="18"/>
        <v>7.634527302220512E-3</v>
      </c>
      <c r="S60" s="19">
        <f t="shared" si="19"/>
        <v>2.965424997278001E-3</v>
      </c>
      <c r="T60" s="19">
        <f t="shared" si="20"/>
        <v>0.98384702539913238</v>
      </c>
      <c r="U60" s="91">
        <f t="shared" si="21"/>
        <v>7.5680540415317896E-3</v>
      </c>
      <c r="V60" s="19">
        <f t="shared" si="22"/>
        <v>3.5320741947082314E-3</v>
      </c>
      <c r="W60" s="19">
        <f t="shared" si="23"/>
        <v>3.9163991240193062E-3</v>
      </c>
      <c r="X60" s="19">
        <f t="shared" si="24"/>
        <v>5.1228858047466892E-3</v>
      </c>
      <c r="Y60" s="19">
        <f t="shared" si="25"/>
        <v>0.98474129674374655</v>
      </c>
      <c r="Z60" s="91">
        <f t="shared" si="26"/>
        <v>7.5749330518749703E-3</v>
      </c>
      <c r="AA60" s="19">
        <f t="shared" si="27"/>
        <v>5.1818701067418782E-3</v>
      </c>
      <c r="AB60" s="19">
        <f t="shared" si="28"/>
        <v>2.2304561965714701E-3</v>
      </c>
      <c r="AC60" s="19">
        <f t="shared" si="29"/>
        <v>4.436728395061729E-3</v>
      </c>
      <c r="AD60" s="19">
        <f t="shared" si="30"/>
        <v>4.6980052672757674E-3</v>
      </c>
      <c r="AE60" s="23">
        <f>('Modelo AHP'!$U$37*aux!P60)+('Modelo AHP'!$U$38*aux!R60)+('Modelo AHP'!$U$39*aux!S60)</f>
        <v>4.0319799204273027E-3</v>
      </c>
      <c r="AF60" s="24">
        <f>aux!U60</f>
        <v>7.5680540415317896E-3</v>
      </c>
      <c r="AG60" s="23">
        <f>('Modelo AHP'!$U$47*aux!V60)+('Modelo AHP'!$U$48*aux!W60)+('Modelo AHP'!$U$49*aux!X60)</f>
        <v>4.3187293603751103E-3</v>
      </c>
      <c r="AH60" s="24">
        <f t="shared" si="31"/>
        <v>7.5749330518749703E-3</v>
      </c>
      <c r="AI60" s="23">
        <f>('Modelo AHP'!$U$56*aux!AA60)+('Modelo AHP'!$U$57*aux!AB60)+('Modelo AHP'!$U$58*aux!AC60)+('Modelo AHP'!$U$59*aux!AD60)</f>
        <v>3.5026876219161345E-3</v>
      </c>
      <c r="AJ60" s="25">
        <f>('Modelo AHP'!$U$23*aux!AE60)+('Modelo AHP'!$U$24*aux!AF60)+('Modelo AHP'!$U$25*aux!AG60)+('Modelo AHP'!$U$26*aux!AH60)+('Modelo AHP'!$U$27*aux!AI60)</f>
        <v>5.4874812713476256E-3</v>
      </c>
    </row>
    <row r="61" spans="1:36">
      <c r="A61" s="248">
        <v>126</v>
      </c>
      <c r="B61" s="14" t="s">
        <v>70</v>
      </c>
      <c r="C61" s="15" t="s">
        <v>76</v>
      </c>
      <c r="D61" s="239">
        <v>5.52</v>
      </c>
      <c r="E61" s="240">
        <v>81.92</v>
      </c>
      <c r="F61" s="239">
        <v>16.44736842105263</v>
      </c>
      <c r="G61" s="241">
        <v>89015</v>
      </c>
      <c r="H61" s="240">
        <v>3.56</v>
      </c>
      <c r="I61" s="240">
        <v>4.4800000000000004</v>
      </c>
      <c r="J61" s="239">
        <v>2.8073860836639954</v>
      </c>
      <c r="K61" s="116">
        <v>329947.68</v>
      </c>
      <c r="L61" s="112">
        <v>2.5117559353136826E-2</v>
      </c>
      <c r="M61" s="242">
        <v>245</v>
      </c>
      <c r="N61" s="112">
        <v>2.3E-2</v>
      </c>
      <c r="O61" s="112">
        <v>2.9000000000000001E-2</v>
      </c>
      <c r="P61" s="19">
        <f t="shared" si="16"/>
        <v>4.6445098864114397E-3</v>
      </c>
      <c r="Q61" s="19">
        <f t="shared" si="17"/>
        <v>0.99262979946972707</v>
      </c>
      <c r="R61" s="19">
        <f t="shared" si="18"/>
        <v>7.6356138420748286E-3</v>
      </c>
      <c r="S61" s="19">
        <f t="shared" si="19"/>
        <v>3.4613407226292453E-3</v>
      </c>
      <c r="T61" s="19">
        <f t="shared" si="20"/>
        <v>0.98366719862926366</v>
      </c>
      <c r="U61" s="91">
        <f t="shared" si="21"/>
        <v>7.5666707586866449E-3</v>
      </c>
      <c r="V61" s="19">
        <f t="shared" si="22"/>
        <v>3.7647257883716479E-3</v>
      </c>
      <c r="W61" s="19">
        <f t="shared" si="23"/>
        <v>3.8100907873195419E-3</v>
      </c>
      <c r="X61" s="19">
        <f t="shared" si="24"/>
        <v>5.1228858047466892E-3</v>
      </c>
      <c r="Y61" s="19">
        <f t="shared" si="25"/>
        <v>0.97496503764582965</v>
      </c>
      <c r="Z61" s="91">
        <f t="shared" si="26"/>
        <v>7.4997310588140707E-3</v>
      </c>
      <c r="AA61" s="19">
        <f t="shared" si="27"/>
        <v>5.1818701067418782E-3</v>
      </c>
      <c r="AB61" s="19">
        <f t="shared" si="28"/>
        <v>2.2304561965714701E-3</v>
      </c>
      <c r="AC61" s="19">
        <f t="shared" si="29"/>
        <v>4.436728395061729E-3</v>
      </c>
      <c r="AD61" s="19">
        <f t="shared" si="30"/>
        <v>4.6980052672757674E-3</v>
      </c>
      <c r="AE61" s="23">
        <f>('Modelo AHP'!$U$37*aux!P61)+('Modelo AHP'!$U$38*aux!R61)+('Modelo AHP'!$U$39*aux!S61)</f>
        <v>4.2337187837084619E-3</v>
      </c>
      <c r="AF61" s="24">
        <f>aux!U61</f>
        <v>7.5666707586866449E-3</v>
      </c>
      <c r="AG61" s="23">
        <f>('Modelo AHP'!$U$47*aux!V61)+('Modelo AHP'!$U$48*aux!W61)+('Modelo AHP'!$U$49*aux!X61)</f>
        <v>4.3109537691800107E-3</v>
      </c>
      <c r="AH61" s="24">
        <f t="shared" si="31"/>
        <v>7.4997310588140707E-3</v>
      </c>
      <c r="AI61" s="23">
        <f>('Modelo AHP'!$U$56*aux!AA61)+('Modelo AHP'!$U$57*aux!AB61)+('Modelo AHP'!$U$58*aux!AC61)+('Modelo AHP'!$U$59*aux!AD61)</f>
        <v>3.5026876219161345E-3</v>
      </c>
      <c r="AJ61" s="25">
        <f>('Modelo AHP'!$U$23*aux!AE61)+('Modelo AHP'!$U$24*aux!AF61)+('Modelo AHP'!$U$25*aux!AG61)+('Modelo AHP'!$U$26*aux!AH61)+('Modelo AHP'!$U$27*aux!AI61)</f>
        <v>5.5123935057780175E-3</v>
      </c>
    </row>
    <row r="62" spans="1:36">
      <c r="A62" s="248">
        <v>120</v>
      </c>
      <c r="B62" s="14" t="s">
        <v>70</v>
      </c>
      <c r="C62" s="15" t="s">
        <v>77</v>
      </c>
      <c r="D62" s="239">
        <v>4.8499999999999996</v>
      </c>
      <c r="E62" s="240">
        <v>84.91</v>
      </c>
      <c r="F62" s="239">
        <v>18.253571230059475</v>
      </c>
      <c r="G62" s="241">
        <v>68119.674369766071</v>
      </c>
      <c r="H62" s="240">
        <v>4.03</v>
      </c>
      <c r="I62" s="240">
        <v>5.3849999999999998</v>
      </c>
      <c r="J62" s="239">
        <v>2.8073860836639954</v>
      </c>
      <c r="K62" s="116">
        <v>147225.70000000001</v>
      </c>
      <c r="L62" s="112">
        <v>2.5117559353136826E-2</v>
      </c>
      <c r="M62" s="242">
        <v>245</v>
      </c>
      <c r="N62" s="112">
        <v>2.3E-2</v>
      </c>
      <c r="O62" s="112">
        <v>2.9000000000000001E-2</v>
      </c>
      <c r="P62" s="19">
        <f t="shared" si="16"/>
        <v>4.0807740849810661E-3</v>
      </c>
      <c r="Q62" s="19">
        <f t="shared" si="17"/>
        <v>0.99236079434783353</v>
      </c>
      <c r="R62" s="19">
        <f t="shared" si="18"/>
        <v>7.6335445719064171E-3</v>
      </c>
      <c r="S62" s="19">
        <f t="shared" si="19"/>
        <v>3.8414552294667231E-3</v>
      </c>
      <c r="T62" s="19">
        <f t="shared" si="20"/>
        <v>0.98750115024523255</v>
      </c>
      <c r="U62" s="91">
        <f t="shared" si="21"/>
        <v>7.5961626941940981E-3</v>
      </c>
      <c r="V62" s="19">
        <f t="shared" si="22"/>
        <v>4.2617541930162197E-3</v>
      </c>
      <c r="W62" s="19">
        <f t="shared" si="23"/>
        <v>4.5797631450258322E-3</v>
      </c>
      <c r="X62" s="19">
        <f t="shared" si="24"/>
        <v>5.1228858047466892E-3</v>
      </c>
      <c r="Y62" s="19">
        <f t="shared" si="25"/>
        <v>0.98882916874255222</v>
      </c>
      <c r="Z62" s="91">
        <f t="shared" si="26"/>
        <v>7.6063782210965521E-3</v>
      </c>
      <c r="AA62" s="19">
        <f t="shared" si="27"/>
        <v>5.1818701067418782E-3</v>
      </c>
      <c r="AB62" s="19">
        <f t="shared" si="28"/>
        <v>2.2304561965714701E-3</v>
      </c>
      <c r="AC62" s="19">
        <f t="shared" si="29"/>
        <v>4.436728395061729E-3</v>
      </c>
      <c r="AD62" s="19">
        <f t="shared" si="30"/>
        <v>4.6980052672757674E-3</v>
      </c>
      <c r="AE62" s="23">
        <f>('Modelo AHP'!$U$37*aux!P62)+('Modelo AHP'!$U$38*aux!R62)+('Modelo AHP'!$U$39*aux!S62)</f>
        <v>4.2924598203649949E-3</v>
      </c>
      <c r="AF62" s="24">
        <f>aux!U62</f>
        <v>7.5961626941940981E-3</v>
      </c>
      <c r="AG62" s="23">
        <f>('Modelo AHP'!$U$47*aux!V62)+('Modelo AHP'!$U$48*aux!W62)+('Modelo AHP'!$U$49*aux!X62)</f>
        <v>4.7363460444956162E-3</v>
      </c>
      <c r="AH62" s="24">
        <f t="shared" si="31"/>
        <v>7.6063782210965521E-3</v>
      </c>
      <c r="AI62" s="23">
        <f>('Modelo AHP'!$U$56*aux!AA62)+('Modelo AHP'!$U$57*aux!AB62)+('Modelo AHP'!$U$58*aux!AC62)+('Modelo AHP'!$U$59*aux!AD62)</f>
        <v>3.5026876219161345E-3</v>
      </c>
      <c r="AJ62" s="25">
        <f>('Modelo AHP'!$U$23*aux!AE62)+('Modelo AHP'!$U$24*aux!AF62)+('Modelo AHP'!$U$25*aux!AG62)+('Modelo AHP'!$U$26*aux!AH62)+('Modelo AHP'!$U$27*aux!AI62)</f>
        <v>5.6850933492528831E-3</v>
      </c>
    </row>
    <row r="63" spans="1:36">
      <c r="A63" s="248">
        <v>28</v>
      </c>
      <c r="B63" s="14" t="s">
        <v>78</v>
      </c>
      <c r="C63" s="15" t="s">
        <v>322</v>
      </c>
      <c r="D63" s="239">
        <v>10.78</v>
      </c>
      <c r="E63" s="240">
        <v>84.25</v>
      </c>
      <c r="F63" s="239">
        <v>50.479110770410117</v>
      </c>
      <c r="G63" s="241">
        <v>25530.027172177135</v>
      </c>
      <c r="H63" s="240">
        <v>10.85</v>
      </c>
      <c r="I63" s="240">
        <v>12.364999999999998</v>
      </c>
      <c r="J63" s="239">
        <v>4.8734745628400864</v>
      </c>
      <c r="K63" s="116">
        <v>63908.07</v>
      </c>
      <c r="L63" s="112">
        <v>4.0725744972809973E-2</v>
      </c>
      <c r="M63" s="242">
        <v>1275</v>
      </c>
      <c r="N63" s="112">
        <v>4.5999999999999999E-2</v>
      </c>
      <c r="O63" s="112">
        <v>5.0999999999999997E-2</v>
      </c>
      <c r="P63" s="19">
        <f t="shared" si="16"/>
        <v>9.0702566259991523E-3</v>
      </c>
      <c r="Q63" s="19">
        <f t="shared" si="17"/>
        <v>0.99242017340484012</v>
      </c>
      <c r="R63" s="19">
        <f t="shared" si="18"/>
        <v>7.6340013338833902E-3</v>
      </c>
      <c r="S63" s="19">
        <f t="shared" si="19"/>
        <v>1.0623304426505371E-2</v>
      </c>
      <c r="T63" s="19">
        <f t="shared" si="20"/>
        <v>0.99531565620633977</v>
      </c>
      <c r="U63" s="91">
        <f t="shared" si="21"/>
        <v>7.6562742785103079E-3</v>
      </c>
      <c r="V63" s="19">
        <f t="shared" si="22"/>
        <v>1.1473953596582129E-2</v>
      </c>
      <c r="W63" s="19">
        <f t="shared" si="23"/>
        <v>1.0516020666340652E-2</v>
      </c>
      <c r="X63" s="19">
        <f t="shared" si="24"/>
        <v>8.8930602751950052E-3</v>
      </c>
      <c r="Y63" s="19">
        <f t="shared" si="25"/>
        <v>0.99515093991090442</v>
      </c>
      <c r="Z63" s="91">
        <f t="shared" si="26"/>
        <v>7.6550072300838766E-3</v>
      </c>
      <c r="AA63" s="19">
        <f t="shared" si="27"/>
        <v>8.4019118849237243E-3</v>
      </c>
      <c r="AB63" s="19">
        <f t="shared" si="28"/>
        <v>1.1607476125014794E-2</v>
      </c>
      <c r="AC63" s="19">
        <f t="shared" si="29"/>
        <v>8.873456790123458E-3</v>
      </c>
      <c r="AD63" s="19">
        <f t="shared" si="30"/>
        <v>8.2620092631401423E-3</v>
      </c>
      <c r="AE63" s="23">
        <f>('Modelo AHP'!$U$37*aux!P63)+('Modelo AHP'!$U$38*aux!R63)+('Modelo AHP'!$U$39*aux!S63)</f>
        <v>9.8584597770913079E-3</v>
      </c>
      <c r="AF63" s="24">
        <f>aux!U63</f>
        <v>7.6562742785103079E-3</v>
      </c>
      <c r="AG63" s="23">
        <f>('Modelo AHP'!$U$47*aux!V63)+('Modelo AHP'!$U$48*aux!W63)+('Modelo AHP'!$U$49*aux!X63)</f>
        <v>1.0049414989048924E-2</v>
      </c>
      <c r="AH63" s="24">
        <f t="shared" si="31"/>
        <v>7.6550072300838766E-3</v>
      </c>
      <c r="AI63" s="23">
        <f>('Modelo AHP'!$U$56*aux!AA63)+('Modelo AHP'!$U$57*aux!AB63)+('Modelo AHP'!$U$58*aux!AC63)+('Modelo AHP'!$U$59*aux!AD63)</f>
        <v>1.0069312852671299E-2</v>
      </c>
      <c r="AJ63" s="25">
        <f>('Modelo AHP'!$U$23*aux!AE63)+('Modelo AHP'!$U$24*aux!AF63)+('Modelo AHP'!$U$25*aux!AG63)+('Modelo AHP'!$U$26*aux!AH63)+('Modelo AHP'!$U$27*aux!AI63)</f>
        <v>9.0673939717146271E-3</v>
      </c>
    </row>
    <row r="64" spans="1:36">
      <c r="A64" s="248">
        <v>30</v>
      </c>
      <c r="B64" s="14" t="s">
        <v>78</v>
      </c>
      <c r="C64" s="15" t="s">
        <v>323</v>
      </c>
      <c r="D64" s="239">
        <v>14.9</v>
      </c>
      <c r="E64" s="240">
        <v>84.36</v>
      </c>
      <c r="F64" s="239">
        <v>47.263069443610824</v>
      </c>
      <c r="G64" s="241">
        <v>28421.211145755147</v>
      </c>
      <c r="H64" s="240">
        <v>9.26</v>
      </c>
      <c r="I64" s="240">
        <v>11.715</v>
      </c>
      <c r="J64" s="239">
        <v>4.8734745628400864</v>
      </c>
      <c r="K64" s="116">
        <v>69433.490000000005</v>
      </c>
      <c r="L64" s="112">
        <v>4.0725744972809973E-2</v>
      </c>
      <c r="M64" s="242">
        <v>1275</v>
      </c>
      <c r="N64" s="112">
        <v>4.5999999999999999E-2</v>
      </c>
      <c r="O64" s="112">
        <v>5.0999999999999997E-2</v>
      </c>
      <c r="P64" s="19">
        <f t="shared" si="16"/>
        <v>1.2536811106436677E-2</v>
      </c>
      <c r="Q64" s="19">
        <f t="shared" si="17"/>
        <v>0.99241027689533901</v>
      </c>
      <c r="R64" s="19">
        <f t="shared" si="18"/>
        <v>7.6339252068872284E-3</v>
      </c>
      <c r="S64" s="19">
        <f t="shared" si="19"/>
        <v>9.9464900860507452E-3</v>
      </c>
      <c r="T64" s="19">
        <f t="shared" si="20"/>
        <v>0.99478517107948805</v>
      </c>
      <c r="U64" s="91">
        <f t="shared" si="21"/>
        <v>7.6521936236883716E-3</v>
      </c>
      <c r="V64" s="19">
        <f t="shared" si="22"/>
        <v>9.792517078741984E-3</v>
      </c>
      <c r="W64" s="19">
        <f t="shared" si="23"/>
        <v>9.9632173155018815E-3</v>
      </c>
      <c r="X64" s="19">
        <f t="shared" si="24"/>
        <v>8.8930602751950052E-3</v>
      </c>
      <c r="Y64" s="19">
        <f t="shared" si="25"/>
        <v>0.99473169561832142</v>
      </c>
      <c r="Z64" s="91">
        <f t="shared" si="26"/>
        <v>7.6517822739870841E-3</v>
      </c>
      <c r="AA64" s="19">
        <f t="shared" si="27"/>
        <v>8.4019118849237243E-3</v>
      </c>
      <c r="AB64" s="19">
        <f t="shared" si="28"/>
        <v>1.1607476125014794E-2</v>
      </c>
      <c r="AC64" s="19">
        <f t="shared" si="29"/>
        <v>8.873456790123458E-3</v>
      </c>
      <c r="AD64" s="19">
        <f t="shared" si="30"/>
        <v>8.2620092631401423E-3</v>
      </c>
      <c r="AE64" s="23">
        <f>('Modelo AHP'!$U$37*aux!P64)+('Modelo AHP'!$U$38*aux!R64)+('Modelo AHP'!$U$39*aux!S64)</f>
        <v>1.0492329904250173E-2</v>
      </c>
      <c r="AF64" s="24">
        <f>aux!U64</f>
        <v>7.6521936236883716E-3</v>
      </c>
      <c r="AG64" s="23">
        <f>('Modelo AHP'!$U$47*aux!V64)+('Modelo AHP'!$U$48*aux!W64)+('Modelo AHP'!$U$49*aux!X64)</f>
        <v>9.5197870416026485E-3</v>
      </c>
      <c r="AH64" s="24">
        <f t="shared" si="31"/>
        <v>7.6517822739870841E-3</v>
      </c>
      <c r="AI64" s="23">
        <f>('Modelo AHP'!$U$56*aux!AA64)+('Modelo AHP'!$U$57*aux!AB64)+('Modelo AHP'!$U$58*aux!AC64)+('Modelo AHP'!$U$59*aux!AD64)</f>
        <v>1.0069312852671299E-2</v>
      </c>
      <c r="AJ64" s="25">
        <f>('Modelo AHP'!$U$23*aux!AE64)+('Modelo AHP'!$U$24*aux!AF64)+('Modelo AHP'!$U$25*aux!AG64)+('Modelo AHP'!$U$26*aux!AH64)+('Modelo AHP'!$U$27*aux!AI64)</f>
        <v>8.9906310054275948E-3</v>
      </c>
    </row>
    <row r="65" spans="1:36">
      <c r="A65" s="248">
        <v>31</v>
      </c>
      <c r="B65" s="14" t="s">
        <v>78</v>
      </c>
      <c r="C65" s="15" t="s">
        <v>79</v>
      </c>
      <c r="D65" s="239">
        <v>13.26</v>
      </c>
      <c r="E65" s="240">
        <v>85.52</v>
      </c>
      <c r="F65" s="239">
        <v>49.731249777524653</v>
      </c>
      <c r="G65" s="241">
        <v>30371.402269660004</v>
      </c>
      <c r="H65" s="240">
        <v>8.67</v>
      </c>
      <c r="I65" s="240">
        <v>10.265000000000001</v>
      </c>
      <c r="J65" s="239">
        <v>4.8734745628400864</v>
      </c>
      <c r="K65" s="116">
        <v>63106.83</v>
      </c>
      <c r="L65" s="112">
        <v>4.0725744972809973E-2</v>
      </c>
      <c r="M65" s="242">
        <v>1275</v>
      </c>
      <c r="N65" s="112">
        <v>4.5999999999999999E-2</v>
      </c>
      <c r="O65" s="112">
        <v>5.0999999999999997E-2</v>
      </c>
      <c r="P65" s="19">
        <f t="shared" si="16"/>
        <v>1.115692048801009E-2</v>
      </c>
      <c r="Q65" s="19">
        <f t="shared" si="17"/>
        <v>0.99230591370423649</v>
      </c>
      <c r="R65" s="19">
        <f t="shared" si="18"/>
        <v>7.6331224131095162E-3</v>
      </c>
      <c r="S65" s="19">
        <f t="shared" si="19"/>
        <v>1.0465917442565316E-2</v>
      </c>
      <c r="T65" s="19">
        <f t="shared" si="20"/>
        <v>0.99442734280041467</v>
      </c>
      <c r="U65" s="91">
        <f t="shared" si="21"/>
        <v>7.6494410984647302E-3</v>
      </c>
      <c r="V65" s="19">
        <f t="shared" si="22"/>
        <v>9.1685878048264578E-3</v>
      </c>
      <c r="W65" s="19">
        <f t="shared" si="23"/>
        <v>8.73004060978462E-3</v>
      </c>
      <c r="X65" s="19">
        <f t="shared" si="24"/>
        <v>8.8930602751950052E-3</v>
      </c>
      <c r="Y65" s="19">
        <f t="shared" si="25"/>
        <v>0.99521173443819633</v>
      </c>
      <c r="Z65" s="91">
        <f t="shared" si="26"/>
        <v>7.6554748802938142E-3</v>
      </c>
      <c r="AA65" s="19">
        <f t="shared" si="27"/>
        <v>8.4019118849237243E-3</v>
      </c>
      <c r="AB65" s="19">
        <f t="shared" si="28"/>
        <v>1.1607476125014794E-2</v>
      </c>
      <c r="AC65" s="19">
        <f t="shared" si="29"/>
        <v>8.873456790123458E-3</v>
      </c>
      <c r="AD65" s="19">
        <f t="shared" si="30"/>
        <v>8.2620092631401423E-3</v>
      </c>
      <c r="AE65" s="23">
        <f>('Modelo AHP'!$U$37*aux!P65)+('Modelo AHP'!$U$38*aux!R65)+('Modelo AHP'!$U$39*aux!S65)</f>
        <v>1.0389938853253167E-2</v>
      </c>
      <c r="AF65" s="24">
        <f>aux!U65</f>
        <v>7.6494410984647302E-3</v>
      </c>
      <c r="AG65" s="23">
        <f>('Modelo AHP'!$U$47*aux!V65)+('Modelo AHP'!$U$48*aux!W65)+('Modelo AHP'!$U$49*aux!X65)</f>
        <v>8.8673918327174788E-3</v>
      </c>
      <c r="AH65" s="24">
        <f t="shared" si="31"/>
        <v>7.6554748802938142E-3</v>
      </c>
      <c r="AI65" s="23">
        <f>('Modelo AHP'!$U$56*aux!AA65)+('Modelo AHP'!$U$57*aux!AB65)+('Modelo AHP'!$U$58*aux!AC65)+('Modelo AHP'!$U$59*aux!AD65)</f>
        <v>1.0069312852671299E-2</v>
      </c>
      <c r="AJ65" s="25">
        <f>('Modelo AHP'!$U$23*aux!AE65)+('Modelo AHP'!$U$24*aux!AF65)+('Modelo AHP'!$U$25*aux!AG65)+('Modelo AHP'!$U$26*aux!AH65)+('Modelo AHP'!$U$27*aux!AI65)</f>
        <v>8.7499927455263332E-3</v>
      </c>
    </row>
    <row r="66" spans="1:36">
      <c r="A66" s="248">
        <v>35</v>
      </c>
      <c r="B66" s="14" t="s">
        <v>78</v>
      </c>
      <c r="C66" s="15" t="s">
        <v>80</v>
      </c>
      <c r="D66" s="239">
        <v>11.43</v>
      </c>
      <c r="E66" s="240">
        <v>85.66</v>
      </c>
      <c r="F66" s="239">
        <v>50.651983853866327</v>
      </c>
      <c r="G66" s="241">
        <v>31245.090557358908</v>
      </c>
      <c r="H66" s="240">
        <v>8.1300000000000008</v>
      </c>
      <c r="I66" s="240">
        <v>9.8849999999999998</v>
      </c>
      <c r="J66" s="239">
        <v>4.8734745628400864</v>
      </c>
      <c r="K66" s="116">
        <v>59139.41</v>
      </c>
      <c r="L66" s="112">
        <v>4.0725744972809973E-2</v>
      </c>
      <c r="M66" s="242">
        <v>1275</v>
      </c>
      <c r="N66" s="112">
        <v>4.5999999999999999E-2</v>
      </c>
      <c r="O66" s="112">
        <v>5.0999999999999997E-2</v>
      </c>
      <c r="P66" s="19">
        <f t="shared" si="16"/>
        <v>9.6171644930584717E-3</v>
      </c>
      <c r="Q66" s="19">
        <f t="shared" si="17"/>
        <v>0.99229331814668964</v>
      </c>
      <c r="R66" s="19">
        <f t="shared" si="18"/>
        <v>7.6330255242053101E-3</v>
      </c>
      <c r="S66" s="19">
        <f t="shared" si="19"/>
        <v>1.065968548323707E-2</v>
      </c>
      <c r="T66" s="19">
        <f t="shared" si="20"/>
        <v>0.99426703524255455</v>
      </c>
      <c r="U66" s="91">
        <f t="shared" si="21"/>
        <v>7.6482079634042676E-3</v>
      </c>
      <c r="V66" s="19">
        <f t="shared" si="22"/>
        <v>8.5975338931071638E-3</v>
      </c>
      <c r="W66" s="19">
        <f t="shared" si="23"/>
        <v>8.4068632662173369E-3</v>
      </c>
      <c r="X66" s="19">
        <f t="shared" si="24"/>
        <v>8.8930602751950052E-3</v>
      </c>
      <c r="Y66" s="19">
        <f t="shared" si="25"/>
        <v>0.99551276462074878</v>
      </c>
      <c r="Z66" s="91">
        <f t="shared" si="26"/>
        <v>7.65779049708268E-3</v>
      </c>
      <c r="AA66" s="19">
        <f t="shared" si="27"/>
        <v>8.4019118849237243E-3</v>
      </c>
      <c r="AB66" s="19">
        <f t="shared" si="28"/>
        <v>1.1607476125014794E-2</v>
      </c>
      <c r="AC66" s="19">
        <f t="shared" si="29"/>
        <v>8.873456790123458E-3</v>
      </c>
      <c r="AD66" s="19">
        <f t="shared" si="30"/>
        <v>8.2620092631401423E-3</v>
      </c>
      <c r="AE66" s="23">
        <f>('Modelo AHP'!$U$37*aux!P66)+('Modelo AHP'!$U$38*aux!R66)+('Modelo AHP'!$U$39*aux!S66)</f>
        <v>1.0044263190280315E-2</v>
      </c>
      <c r="AF66" s="24">
        <f>aux!U66</f>
        <v>7.6482079634042676E-3</v>
      </c>
      <c r="AG66" s="23">
        <f>('Modelo AHP'!$U$47*aux!V66)+('Modelo AHP'!$U$48*aux!W66)+('Modelo AHP'!$U$49*aux!X66)</f>
        <v>8.6274633395214823E-3</v>
      </c>
      <c r="AH66" s="24">
        <f t="shared" si="31"/>
        <v>7.65779049708268E-3</v>
      </c>
      <c r="AI66" s="23">
        <f>('Modelo AHP'!$U$56*aux!AA66)+('Modelo AHP'!$U$57*aux!AB66)+('Modelo AHP'!$U$58*aux!AC66)+('Modelo AHP'!$U$59*aux!AD66)</f>
        <v>1.0069312852671299E-2</v>
      </c>
      <c r="AJ66" s="25">
        <f>('Modelo AHP'!$U$23*aux!AE66)+('Modelo AHP'!$U$24*aux!AF66)+('Modelo AHP'!$U$25*aux!AG66)+('Modelo AHP'!$U$26*aux!AH66)+('Modelo AHP'!$U$27*aux!AI66)</f>
        <v>8.6100911326693411E-3</v>
      </c>
    </row>
    <row r="67" spans="1:36">
      <c r="A67" s="248">
        <v>42</v>
      </c>
      <c r="B67" s="14" t="s">
        <v>78</v>
      </c>
      <c r="C67" s="15" t="s">
        <v>81</v>
      </c>
      <c r="D67" s="239">
        <v>13.49</v>
      </c>
      <c r="E67" s="240">
        <v>85.98</v>
      </c>
      <c r="F67" s="239">
        <v>47.044157207532315</v>
      </c>
      <c r="G67" s="241">
        <v>31966.927904872642</v>
      </c>
      <c r="H67" s="240">
        <v>7.06</v>
      </c>
      <c r="I67" s="240">
        <v>8.6649999999999991</v>
      </c>
      <c r="J67" s="239">
        <v>4.8734745628400864</v>
      </c>
      <c r="K67" s="116">
        <v>63612.84</v>
      </c>
      <c r="L67" s="112">
        <v>4.0725744972809973E-2</v>
      </c>
      <c r="M67" s="242">
        <v>1275</v>
      </c>
      <c r="N67" s="112">
        <v>4.5999999999999999E-2</v>
      </c>
      <c r="O67" s="112">
        <v>5.0999999999999997E-2</v>
      </c>
      <c r="P67" s="19">
        <f t="shared" si="16"/>
        <v>1.1350441733277233E-2</v>
      </c>
      <c r="Q67" s="19">
        <f t="shared" si="17"/>
        <v>0.99226452830086831</v>
      </c>
      <c r="R67" s="19">
        <f t="shared" si="18"/>
        <v>7.6328040638528379E-3</v>
      </c>
      <c r="S67" s="19">
        <f t="shared" si="19"/>
        <v>9.9004201119355876E-3</v>
      </c>
      <c r="T67" s="19">
        <f t="shared" si="20"/>
        <v>0.99413458985673275</v>
      </c>
      <c r="U67" s="91">
        <f t="shared" si="21"/>
        <v>7.6471891527440999E-3</v>
      </c>
      <c r="V67" s="19">
        <f t="shared" si="22"/>
        <v>7.4660011421078185E-3</v>
      </c>
      <c r="W67" s="19">
        <f t="shared" si="23"/>
        <v>7.3692939000276391E-3</v>
      </c>
      <c r="X67" s="19">
        <f t="shared" si="24"/>
        <v>8.8930602751950052E-3</v>
      </c>
      <c r="Y67" s="19">
        <f t="shared" si="25"/>
        <v>0.99517334065012408</v>
      </c>
      <c r="Z67" s="91">
        <f t="shared" si="26"/>
        <v>7.6551795434624892E-3</v>
      </c>
      <c r="AA67" s="19">
        <f t="shared" si="27"/>
        <v>8.4019118849237243E-3</v>
      </c>
      <c r="AB67" s="19">
        <f t="shared" si="28"/>
        <v>1.1607476125014794E-2</v>
      </c>
      <c r="AC67" s="19">
        <f t="shared" si="29"/>
        <v>8.873456790123458E-3</v>
      </c>
      <c r="AD67" s="19">
        <f t="shared" si="30"/>
        <v>8.2620092631401423E-3</v>
      </c>
      <c r="AE67" s="23">
        <f>('Modelo AHP'!$U$37*aux!P67)+('Modelo AHP'!$U$38*aux!R67)+('Modelo AHP'!$U$39*aux!S67)</f>
        <v>1.0108664993529807E-2</v>
      </c>
      <c r="AF67" s="24">
        <f>aux!U67</f>
        <v>7.6471891527440999E-3</v>
      </c>
      <c r="AG67" s="23">
        <f>('Modelo AHP'!$U$47*aux!V67)+('Modelo AHP'!$U$48*aux!W67)+('Modelo AHP'!$U$49*aux!X67)</f>
        <v>7.9759196754700321E-3</v>
      </c>
      <c r="AH67" s="24">
        <f t="shared" si="31"/>
        <v>7.6551795434624892E-3</v>
      </c>
      <c r="AI67" s="23">
        <f>('Modelo AHP'!$U$56*aux!AA67)+('Modelo AHP'!$U$57*aux!AB67)+('Modelo AHP'!$U$58*aux!AC67)+('Modelo AHP'!$U$59*aux!AD67)</f>
        <v>1.0069312852671299E-2</v>
      </c>
      <c r="AJ67" s="25">
        <f>('Modelo AHP'!$U$23*aux!AE67)+('Modelo AHP'!$U$24*aux!AF67)+('Modelo AHP'!$U$25*aux!AG67)+('Modelo AHP'!$U$26*aux!AH67)+('Modelo AHP'!$U$27*aux!AI67)</f>
        <v>8.3976646908057902E-3</v>
      </c>
    </row>
    <row r="68" spans="1:36">
      <c r="A68" s="248">
        <v>54</v>
      </c>
      <c r="B68" s="14" t="s">
        <v>78</v>
      </c>
      <c r="C68" s="15" t="s">
        <v>82</v>
      </c>
      <c r="D68" s="239">
        <v>4.1100000000000003</v>
      </c>
      <c r="E68" s="240">
        <v>88.21</v>
      </c>
      <c r="F68" s="239">
        <v>29.392570281124499</v>
      </c>
      <c r="G68" s="241">
        <v>35491.548435274912</v>
      </c>
      <c r="H68" s="240">
        <v>7.84</v>
      </c>
      <c r="I68" s="240">
        <v>9.6850000000000005</v>
      </c>
      <c r="J68" s="239">
        <v>4.8734745628400864</v>
      </c>
      <c r="K68" s="116">
        <v>60311.44</v>
      </c>
      <c r="L68" s="112">
        <v>4.0725744972809973E-2</v>
      </c>
      <c r="M68" s="242">
        <v>1275</v>
      </c>
      <c r="N68" s="112">
        <v>4.5999999999999999E-2</v>
      </c>
      <c r="O68" s="112">
        <v>5.0999999999999997E-2</v>
      </c>
      <c r="P68" s="19">
        <f t="shared" si="16"/>
        <v>3.4581405132519966E-3</v>
      </c>
      <c r="Q68" s="19">
        <f t="shared" si="17"/>
        <v>0.99206389906280057</v>
      </c>
      <c r="R68" s="19">
        <f t="shared" si="18"/>
        <v>7.6312607620215482E-3</v>
      </c>
      <c r="S68" s="19">
        <f t="shared" si="19"/>
        <v>6.1856521877733401E-3</v>
      </c>
      <c r="T68" s="19">
        <f t="shared" si="20"/>
        <v>0.99348787944803452</v>
      </c>
      <c r="U68" s="91">
        <f t="shared" si="21"/>
        <v>7.6422144572925749E-3</v>
      </c>
      <c r="V68" s="19">
        <f t="shared" si="22"/>
        <v>8.2908567923690221E-3</v>
      </c>
      <c r="W68" s="19">
        <f t="shared" si="23"/>
        <v>8.2367699274977137E-3</v>
      </c>
      <c r="X68" s="19">
        <f t="shared" si="24"/>
        <v>8.8930602751950052E-3</v>
      </c>
      <c r="Y68" s="19">
        <f t="shared" si="25"/>
        <v>0.99542383619752739</v>
      </c>
      <c r="Z68" s="91">
        <f t="shared" si="26"/>
        <v>7.6571064322886687E-3</v>
      </c>
      <c r="AA68" s="19">
        <f t="shared" si="27"/>
        <v>8.4019118849237243E-3</v>
      </c>
      <c r="AB68" s="19">
        <f t="shared" si="28"/>
        <v>1.1607476125014794E-2</v>
      </c>
      <c r="AC68" s="19">
        <f t="shared" si="29"/>
        <v>8.873456790123458E-3</v>
      </c>
      <c r="AD68" s="19">
        <f t="shared" si="30"/>
        <v>8.2620092631401423E-3</v>
      </c>
      <c r="AE68" s="23">
        <f>('Modelo AHP'!$U$37*aux!P68)+('Modelo AHP'!$U$38*aux!R68)+('Modelo AHP'!$U$39*aux!S68)</f>
        <v>5.511959542841758E-3</v>
      </c>
      <c r="AF68" s="24">
        <f>aux!U68</f>
        <v>7.6422144572925749E-3</v>
      </c>
      <c r="AG68" s="23">
        <f>('Modelo AHP'!$U$47*aux!V68)+('Modelo AHP'!$U$48*aux!W68)+('Modelo AHP'!$U$49*aux!X68)</f>
        <v>8.5001492741452449E-3</v>
      </c>
      <c r="AH68" s="24">
        <f t="shared" si="31"/>
        <v>7.6571064322886687E-3</v>
      </c>
      <c r="AI68" s="23">
        <f>('Modelo AHP'!$U$56*aux!AA68)+('Modelo AHP'!$U$57*aux!AB68)+('Modelo AHP'!$U$58*aux!AC68)+('Modelo AHP'!$U$59*aux!AD68)</f>
        <v>1.0069312852671299E-2</v>
      </c>
      <c r="AJ68" s="25">
        <f>('Modelo AHP'!$U$23*aux!AE68)+('Modelo AHP'!$U$24*aux!AF68)+('Modelo AHP'!$U$25*aux!AG68)+('Modelo AHP'!$U$26*aux!AH68)+('Modelo AHP'!$U$27*aux!AI68)</f>
        <v>7.8082263548185918E-3</v>
      </c>
    </row>
    <row r="69" spans="1:36">
      <c r="A69" s="248">
        <v>41</v>
      </c>
      <c r="B69" s="14" t="s">
        <v>78</v>
      </c>
      <c r="C69" s="15" t="s">
        <v>83</v>
      </c>
      <c r="D69" s="239">
        <v>7.95</v>
      </c>
      <c r="E69" s="240">
        <v>85.08</v>
      </c>
      <c r="F69" s="239">
        <v>52.705192223784358</v>
      </c>
      <c r="G69" s="241">
        <v>30302.515152026659</v>
      </c>
      <c r="H69" s="240">
        <v>8.01</v>
      </c>
      <c r="I69" s="240">
        <v>9.3049999999999997</v>
      </c>
      <c r="J69" s="239">
        <v>4.8734745628400864</v>
      </c>
      <c r="K69" s="116">
        <v>55757.16</v>
      </c>
      <c r="L69" s="112">
        <v>4.0725744972809973E-2</v>
      </c>
      <c r="M69" s="242">
        <v>1275</v>
      </c>
      <c r="N69" s="112">
        <v>4.5999999999999999E-2</v>
      </c>
      <c r="O69" s="112">
        <v>5.0999999999999997E-2</v>
      </c>
      <c r="P69" s="19">
        <f t="shared" ref="P69:P100" si="32">D69/$P$1</f>
        <v>6.6891039124947378E-3</v>
      </c>
      <c r="Q69" s="19">
        <f t="shared" ref="Q69:Q100" si="33">1-(E69/Q$1)</f>
        <v>0.99234549974224096</v>
      </c>
      <c r="R69" s="19">
        <f t="shared" ref="R69:R100" si="34">Q69/R$1</f>
        <v>7.6334269210941658E-3</v>
      </c>
      <c r="S69" s="19">
        <f t="shared" ref="S69:S100" si="35">F69/S$1</f>
        <v>1.1091782190801772E-2</v>
      </c>
      <c r="T69" s="19">
        <f t="shared" ref="T69:T100" si="36">1-(G69/T$1)</f>
        <v>0.99443998246349741</v>
      </c>
      <c r="U69" s="91">
        <f t="shared" ref="U69:U100" si="37">T69/U$1</f>
        <v>7.6495383266422896E-3</v>
      </c>
      <c r="V69" s="19">
        <f t="shared" ref="V69:V100" si="38">H69/V$1</f>
        <v>8.4706330238362073E-3</v>
      </c>
      <c r="W69" s="19">
        <f t="shared" ref="W69:W100" si="39">I69/W$1</f>
        <v>7.9135925839304306E-3</v>
      </c>
      <c r="X69" s="19">
        <f t="shared" ref="X69:X100" si="40">J69/X$1</f>
        <v>8.8930602751950052E-3</v>
      </c>
      <c r="Y69" s="19">
        <f t="shared" ref="Y69:Y100" si="41">1-(K69/Y$1)</f>
        <v>0.99576939470653214</v>
      </c>
      <c r="Z69" s="91">
        <f t="shared" ref="Z69:Z100" si="42">Y69/Z$1</f>
        <v>7.6597645746656288E-3</v>
      </c>
      <c r="AA69" s="19">
        <f t="shared" ref="AA69:AA100" si="43">L69/$AA$1</f>
        <v>8.4019118849237243E-3</v>
      </c>
      <c r="AB69" s="19">
        <f t="shared" ref="AB69:AB100" si="44">M69/AB$1</f>
        <v>1.1607476125014794E-2</v>
      </c>
      <c r="AC69" s="19">
        <f t="shared" ref="AC69:AC100" si="45">N69/AC$1</f>
        <v>8.873456790123458E-3</v>
      </c>
      <c r="AD69" s="19">
        <f t="shared" ref="AD69:AD100" si="46">O69/AD$1</f>
        <v>8.2620092631401423E-3</v>
      </c>
      <c r="AE69" s="23">
        <f>('Modelo AHP'!$U$37*aux!P69)+('Modelo AHP'!$U$38*aux!R69)+('Modelo AHP'!$U$39*aux!S69)</f>
        <v>9.4251431803389005E-3</v>
      </c>
      <c r="AF69" s="24">
        <f>aux!U69</f>
        <v>7.6495383266422896E-3</v>
      </c>
      <c r="AG69" s="23">
        <f>('Modelo AHP'!$U$47*aux!V69)+('Modelo AHP'!$U$48*aux!W69)+('Modelo AHP'!$U$49*aux!X69)</f>
        <v>8.3872611467117018E-3</v>
      </c>
      <c r="AH69" s="24">
        <f t="shared" ref="AH69:AH100" si="47">Z69</f>
        <v>7.6597645746656288E-3</v>
      </c>
      <c r="AI69" s="23">
        <f>('Modelo AHP'!$U$56*aux!AA69)+('Modelo AHP'!$U$57*aux!AB69)+('Modelo AHP'!$U$58*aux!AC69)+('Modelo AHP'!$U$59*aux!AD69)</f>
        <v>1.0069312852671299E-2</v>
      </c>
      <c r="AJ69" s="25">
        <f>('Modelo AHP'!$U$23*aux!AE69)+('Modelo AHP'!$U$24*aux!AF69)+('Modelo AHP'!$U$25*aux!AG69)+('Modelo AHP'!$U$26*aux!AH69)+('Modelo AHP'!$U$27*aux!AI69)</f>
        <v>8.4252636099154711E-3</v>
      </c>
    </row>
    <row r="70" spans="1:36">
      <c r="A70" s="248">
        <v>26</v>
      </c>
      <c r="B70" s="14" t="s">
        <v>84</v>
      </c>
      <c r="C70" s="15" t="s">
        <v>85</v>
      </c>
      <c r="D70" s="239">
        <v>13.25</v>
      </c>
      <c r="E70" s="240">
        <v>85.41</v>
      </c>
      <c r="F70" s="239">
        <v>48.202426038750758</v>
      </c>
      <c r="G70" s="241">
        <v>32240.757879832585</v>
      </c>
      <c r="H70" s="240">
        <v>9.1300000000000008</v>
      </c>
      <c r="I70" s="240">
        <v>11.34</v>
      </c>
      <c r="J70" s="239">
        <v>5.5691431542133367</v>
      </c>
      <c r="K70" s="116">
        <v>58692.95</v>
      </c>
      <c r="L70" s="112">
        <v>4.7766711161310198E-2</v>
      </c>
      <c r="M70" s="242">
        <v>2027</v>
      </c>
      <c r="N70" s="112">
        <v>5.3999999999999999E-2</v>
      </c>
      <c r="O70" s="112">
        <v>5.7000000000000002E-2</v>
      </c>
      <c r="P70" s="19">
        <f t="shared" si="32"/>
        <v>1.1148506520824563E-2</v>
      </c>
      <c r="Q70" s="19">
        <f t="shared" si="33"/>
        <v>0.9923158102137376</v>
      </c>
      <c r="R70" s="19">
        <f t="shared" si="34"/>
        <v>7.6331985401056788E-3</v>
      </c>
      <c r="S70" s="19">
        <f t="shared" si="35"/>
        <v>1.01441772267891E-2</v>
      </c>
      <c r="T70" s="19">
        <f t="shared" si="36"/>
        <v>0.99408434652032462</v>
      </c>
      <c r="U70" s="91">
        <f t="shared" si="37"/>
        <v>7.6468026655409603E-3</v>
      </c>
      <c r="V70" s="19">
        <f t="shared" si="38"/>
        <v>9.6550411370317831E-3</v>
      </c>
      <c r="W70" s="19">
        <f t="shared" si="39"/>
        <v>9.6442923054025891E-3</v>
      </c>
      <c r="X70" s="19">
        <f t="shared" si="40"/>
        <v>1.0162508311677004E-2</v>
      </c>
      <c r="Y70" s="19">
        <f t="shared" si="41"/>
        <v>0.99554664001969884</v>
      </c>
      <c r="Z70" s="91">
        <f t="shared" si="42"/>
        <v>7.6580510770746027E-3</v>
      </c>
      <c r="AA70" s="19">
        <f t="shared" si="43"/>
        <v>9.8544961787163099E-3</v>
      </c>
      <c r="AB70" s="19">
        <f t="shared" si="44"/>
        <v>1.8453611063062734E-2</v>
      </c>
      <c r="AC70" s="19">
        <f t="shared" si="45"/>
        <v>1.0416666666666668E-2</v>
      </c>
      <c r="AD70" s="19">
        <f t="shared" si="46"/>
        <v>9.2340103529213353E-3</v>
      </c>
      <c r="AE70" s="23">
        <f>('Modelo AHP'!$U$37*aux!P70)+('Modelo AHP'!$U$38*aux!R70)+('Modelo AHP'!$U$39*aux!S70)</f>
        <v>1.0194378146331397E-2</v>
      </c>
      <c r="AF70" s="24">
        <f>aux!U70</f>
        <v>7.6468026655409603E-3</v>
      </c>
      <c r="AG70" s="23">
        <f>('Modelo AHP'!$U$47*aux!V70)+('Modelo AHP'!$U$48*aux!W70)+('Modelo AHP'!$U$49*aux!X70)</f>
        <v>9.8468528649597528E-3</v>
      </c>
      <c r="AH70" s="24">
        <f t="shared" si="47"/>
        <v>7.6580510770746027E-3</v>
      </c>
      <c r="AI70" s="23">
        <f>('Modelo AHP'!$U$56*aux!AA70)+('Modelo AHP'!$U$57*aux!AB70)+('Modelo AHP'!$U$58*aux!AC70)+('Modelo AHP'!$U$59*aux!AD70)</f>
        <v>1.4144509796954913E-2</v>
      </c>
      <c r="AJ70" s="25">
        <f>('Modelo AHP'!$U$23*aux!AE70)+('Modelo AHP'!$U$24*aux!AF70)+('Modelo AHP'!$U$25*aux!AG70)+('Modelo AHP'!$U$26*aux!AH70)+('Modelo AHP'!$U$27*aux!AI70)</f>
        <v>9.4329207252862243E-3</v>
      </c>
    </row>
    <row r="71" spans="1:36">
      <c r="A71" s="248">
        <v>25</v>
      </c>
      <c r="B71" s="14" t="s">
        <v>84</v>
      </c>
      <c r="C71" s="15" t="s">
        <v>86</v>
      </c>
      <c r="D71" s="239">
        <v>16.89</v>
      </c>
      <c r="E71" s="240">
        <v>84.44</v>
      </c>
      <c r="F71" s="239">
        <v>51.406826568265686</v>
      </c>
      <c r="G71" s="241">
        <v>28304.777621117308</v>
      </c>
      <c r="H71" s="240">
        <v>8.36</v>
      </c>
      <c r="I71" s="240">
        <v>10.405000000000001</v>
      </c>
      <c r="J71" s="239">
        <v>5.5691431542133367</v>
      </c>
      <c r="K71" s="116">
        <v>53886.73</v>
      </c>
      <c r="L71" s="112">
        <v>4.7766711161310198E-2</v>
      </c>
      <c r="M71" s="242">
        <v>2027</v>
      </c>
      <c r="N71" s="112">
        <v>5.3999999999999999E-2</v>
      </c>
      <c r="O71" s="112">
        <v>5.7000000000000002E-2</v>
      </c>
      <c r="P71" s="19">
        <f t="shared" si="32"/>
        <v>1.4211190576356744E-2</v>
      </c>
      <c r="Q71" s="19">
        <f t="shared" si="33"/>
        <v>0.99240307943388362</v>
      </c>
      <c r="R71" s="19">
        <f t="shared" si="34"/>
        <v>7.6338698417991102E-3</v>
      </c>
      <c r="S71" s="19">
        <f t="shared" si="35"/>
        <v>1.0818541767090125E-2</v>
      </c>
      <c r="T71" s="19">
        <f t="shared" si="36"/>
        <v>0.99480653473315095</v>
      </c>
      <c r="U71" s="91">
        <f t="shared" si="37"/>
        <v>7.6523579594857784E-3</v>
      </c>
      <c r="V71" s="19">
        <f t="shared" si="38"/>
        <v>8.8407605592098239E-3</v>
      </c>
      <c r="W71" s="19">
        <f t="shared" si="39"/>
        <v>8.8491059468883554E-3</v>
      </c>
      <c r="X71" s="19">
        <f t="shared" si="40"/>
        <v>1.0162508311677004E-2</v>
      </c>
      <c r="Y71" s="19">
        <f t="shared" si="41"/>
        <v>0.99591131461527671</v>
      </c>
      <c r="Z71" s="91">
        <f t="shared" si="42"/>
        <v>7.6608562662713563E-3</v>
      </c>
      <c r="AA71" s="19">
        <f t="shared" si="43"/>
        <v>9.8544961787163099E-3</v>
      </c>
      <c r="AB71" s="19">
        <f t="shared" si="44"/>
        <v>1.8453611063062734E-2</v>
      </c>
      <c r="AC71" s="19">
        <f t="shared" si="45"/>
        <v>1.0416666666666668E-2</v>
      </c>
      <c r="AD71" s="19">
        <f t="shared" si="46"/>
        <v>9.2340103529213353E-3</v>
      </c>
      <c r="AE71" s="23">
        <f>('Modelo AHP'!$U$37*aux!P71)+('Modelo AHP'!$U$38*aux!R71)+('Modelo AHP'!$U$39*aux!S71)</f>
        <v>1.1517869217341008E-2</v>
      </c>
      <c r="AF71" s="24">
        <f>aux!U71</f>
        <v>7.6523579594857784E-3</v>
      </c>
      <c r="AG71" s="23">
        <f>('Modelo AHP'!$U$47*aux!V71)+('Modelo AHP'!$U$48*aux!W71)+('Modelo AHP'!$U$49*aux!X71)</f>
        <v>9.3564679110798681E-3</v>
      </c>
      <c r="AH71" s="24">
        <f t="shared" si="47"/>
        <v>7.6608562662713563E-3</v>
      </c>
      <c r="AI71" s="23">
        <f>('Modelo AHP'!$U$56*aux!AA71)+('Modelo AHP'!$U$57*aux!AB71)+('Modelo AHP'!$U$58*aux!AC71)+('Modelo AHP'!$U$59*aux!AD71)</f>
        <v>1.4144509796954913E-2</v>
      </c>
      <c r="AJ71" s="25">
        <f>('Modelo AHP'!$U$23*aux!AE71)+('Modelo AHP'!$U$24*aux!AF71)+('Modelo AHP'!$U$25*aux!AG71)+('Modelo AHP'!$U$26*aux!AH71)+('Modelo AHP'!$U$27*aux!AI71)</f>
        <v>9.4882173700672444E-3</v>
      </c>
    </row>
    <row r="72" spans="1:36">
      <c r="A72" s="248">
        <v>13</v>
      </c>
      <c r="B72" s="14" t="s">
        <v>84</v>
      </c>
      <c r="C72" s="15" t="s">
        <v>87</v>
      </c>
      <c r="D72" s="239">
        <v>15.09</v>
      </c>
      <c r="E72" s="240">
        <v>84.27</v>
      </c>
      <c r="F72" s="239">
        <v>55.626594229304004</v>
      </c>
      <c r="G72" s="241">
        <v>26487.127214945063</v>
      </c>
      <c r="H72" s="240">
        <v>11.29</v>
      </c>
      <c r="I72" s="240">
        <v>13.5</v>
      </c>
      <c r="J72" s="239">
        <v>5.5691431542133367</v>
      </c>
      <c r="K72" s="116">
        <v>50371.49</v>
      </c>
      <c r="L72" s="112">
        <v>4.7766711161310198E-2</v>
      </c>
      <c r="M72" s="242">
        <v>2027</v>
      </c>
      <c r="N72" s="112">
        <v>5.3999999999999999E-2</v>
      </c>
      <c r="O72" s="112">
        <v>5.7000000000000002E-2</v>
      </c>
      <c r="P72" s="19">
        <f t="shared" si="32"/>
        <v>1.2696676482961709E-2</v>
      </c>
      <c r="Q72" s="19">
        <f t="shared" si="33"/>
        <v>0.9924183740394763</v>
      </c>
      <c r="R72" s="19">
        <f t="shared" si="34"/>
        <v>7.6339874926113615E-3</v>
      </c>
      <c r="S72" s="19">
        <f t="shared" si="35"/>
        <v>1.1706589828717426E-2</v>
      </c>
      <c r="T72" s="19">
        <f t="shared" si="36"/>
        <v>0.99514004395120914</v>
      </c>
      <c r="U72" s="91">
        <f t="shared" si="37"/>
        <v>7.6549234150093031E-3</v>
      </c>
      <c r="V72" s="19">
        <f t="shared" si="38"/>
        <v>1.1939256783908961E-2</v>
      </c>
      <c r="W72" s="19">
        <f t="shared" si="39"/>
        <v>1.1481300363574511E-2</v>
      </c>
      <c r="X72" s="19">
        <f t="shared" si="40"/>
        <v>1.0162508311677004E-2</v>
      </c>
      <c r="Y72" s="19">
        <f t="shared" si="41"/>
        <v>0.99617803539072169</v>
      </c>
      <c r="Z72" s="91">
        <f t="shared" si="42"/>
        <v>7.6629079645440098E-3</v>
      </c>
      <c r="AA72" s="19">
        <f t="shared" si="43"/>
        <v>9.8544961787163099E-3</v>
      </c>
      <c r="AB72" s="19">
        <f t="shared" si="44"/>
        <v>1.8453611063062734E-2</v>
      </c>
      <c r="AC72" s="19">
        <f t="shared" si="45"/>
        <v>1.0416666666666668E-2</v>
      </c>
      <c r="AD72" s="19">
        <f t="shared" si="46"/>
        <v>9.2340103529213353E-3</v>
      </c>
      <c r="AE72" s="23">
        <f>('Modelo AHP'!$U$37*aux!P72)+('Modelo AHP'!$U$38*aux!R72)+('Modelo AHP'!$U$39*aux!S72)</f>
        <v>1.1596355591380104E-2</v>
      </c>
      <c r="AF72" s="24">
        <f>aux!U72</f>
        <v>7.6549234150093031E-3</v>
      </c>
      <c r="AG72" s="23">
        <f>('Modelo AHP'!$U$47*aux!V72)+('Modelo AHP'!$U$48*aux!W72)+('Modelo AHP'!$U$49*aux!X72)</f>
        <v>1.1047924720993391E-2</v>
      </c>
      <c r="AH72" s="24">
        <f t="shared" si="47"/>
        <v>7.6629079645440098E-3</v>
      </c>
      <c r="AI72" s="23">
        <f>('Modelo AHP'!$U$56*aux!AA72)+('Modelo AHP'!$U$57*aux!AB72)+('Modelo AHP'!$U$58*aux!AC72)+('Modelo AHP'!$U$59*aux!AD72)</f>
        <v>1.4144509796954913E-2</v>
      </c>
      <c r="AJ72" s="25">
        <f>('Modelo AHP'!$U$23*aux!AE72)+('Modelo AHP'!$U$24*aux!AF72)+('Modelo AHP'!$U$25*aux!AG72)+('Modelo AHP'!$U$26*aux!AH72)+('Modelo AHP'!$U$27*aux!AI72)</f>
        <v>1.0080311715621074E-2</v>
      </c>
    </row>
    <row r="73" spans="1:36">
      <c r="A73" s="248">
        <v>21</v>
      </c>
      <c r="B73" s="14" t="s">
        <v>84</v>
      </c>
      <c r="C73" s="15" t="s">
        <v>88</v>
      </c>
      <c r="D73" s="239">
        <v>18.13</v>
      </c>
      <c r="E73" s="240">
        <v>84.54</v>
      </c>
      <c r="F73" s="239">
        <v>55.851786159687386</v>
      </c>
      <c r="G73" s="241">
        <v>28128.119823861882</v>
      </c>
      <c r="H73" s="240">
        <v>8.9</v>
      </c>
      <c r="I73" s="240">
        <v>10.815000000000001</v>
      </c>
      <c r="J73" s="239">
        <v>5.5691431542133367</v>
      </c>
      <c r="K73" s="116">
        <v>53391.4</v>
      </c>
      <c r="L73" s="112">
        <v>4.7766711161310198E-2</v>
      </c>
      <c r="M73" s="242">
        <v>2027</v>
      </c>
      <c r="N73" s="112">
        <v>5.3999999999999999E-2</v>
      </c>
      <c r="O73" s="112">
        <v>5.7000000000000002E-2</v>
      </c>
      <c r="P73" s="19">
        <f t="shared" si="32"/>
        <v>1.5254522507362213E-2</v>
      </c>
      <c r="Q73" s="19">
        <f t="shared" si="33"/>
        <v>0.99239408260706452</v>
      </c>
      <c r="R73" s="19">
        <f t="shared" si="34"/>
        <v>7.6338006354389632E-3</v>
      </c>
      <c r="S73" s="19">
        <f t="shared" si="35"/>
        <v>1.1753981361459271E-2</v>
      </c>
      <c r="T73" s="19">
        <f t="shared" si="36"/>
        <v>0.99483894855905852</v>
      </c>
      <c r="U73" s="91">
        <f t="shared" si="37"/>
        <v>7.6526072966081439E-3</v>
      </c>
      <c r="V73" s="19">
        <f t="shared" si="38"/>
        <v>9.4118144709291213E-3</v>
      </c>
      <c r="W73" s="19">
        <f t="shared" si="39"/>
        <v>9.1977972912635816E-3</v>
      </c>
      <c r="X73" s="19">
        <f t="shared" si="40"/>
        <v>1.0162508311677004E-2</v>
      </c>
      <c r="Y73" s="19">
        <f t="shared" si="41"/>
        <v>0.99594889805245346</v>
      </c>
      <c r="Z73" s="91">
        <f t="shared" si="42"/>
        <v>7.661145369634254E-3</v>
      </c>
      <c r="AA73" s="19">
        <f t="shared" si="43"/>
        <v>9.8544961787163099E-3</v>
      </c>
      <c r="AB73" s="19">
        <f t="shared" si="44"/>
        <v>1.8453611063062734E-2</v>
      </c>
      <c r="AC73" s="19">
        <f t="shared" si="45"/>
        <v>1.0416666666666668E-2</v>
      </c>
      <c r="AD73" s="19">
        <f t="shared" si="46"/>
        <v>9.2340103529213353E-3</v>
      </c>
      <c r="AE73" s="23">
        <f>('Modelo AHP'!$U$37*aux!P73)+('Modelo AHP'!$U$38*aux!R73)+('Modelo AHP'!$U$39*aux!S73)</f>
        <v>1.2392125632628122E-2</v>
      </c>
      <c r="AF73" s="24">
        <f>aux!U73</f>
        <v>7.6526072966081439E-3</v>
      </c>
      <c r="AG73" s="23">
        <f>('Modelo AHP'!$U$47*aux!V73)+('Modelo AHP'!$U$48*aux!W73)+('Modelo AHP'!$U$49*aux!X73)</f>
        <v>9.6077100550531931E-3</v>
      </c>
      <c r="AH73" s="24">
        <f t="shared" si="47"/>
        <v>7.661145369634254E-3</v>
      </c>
      <c r="AI73" s="23">
        <f>('Modelo AHP'!$U$56*aux!AA73)+('Modelo AHP'!$U$57*aux!AB73)+('Modelo AHP'!$U$58*aux!AC73)+('Modelo AHP'!$U$59*aux!AD73)</f>
        <v>1.4144509796954913E-2</v>
      </c>
      <c r="AJ73" s="25">
        <f>('Modelo AHP'!$U$23*aux!AE73)+('Modelo AHP'!$U$24*aux!AF73)+('Modelo AHP'!$U$25*aux!AG73)+('Modelo AHP'!$U$26*aux!AH73)+('Modelo AHP'!$U$27*aux!AI73)</f>
        <v>9.7200756769624842E-3</v>
      </c>
    </row>
    <row r="74" spans="1:36">
      <c r="A74" s="248">
        <v>16</v>
      </c>
      <c r="B74" s="14" t="s">
        <v>84</v>
      </c>
      <c r="C74" s="15" t="s">
        <v>89</v>
      </c>
      <c r="D74" s="239">
        <v>17.829999999999998</v>
      </c>
      <c r="E74" s="240">
        <v>84.03</v>
      </c>
      <c r="F74" s="239">
        <v>59.108786131581965</v>
      </c>
      <c r="G74" s="241">
        <v>26011.611799613318</v>
      </c>
      <c r="H74" s="240">
        <v>9.98</v>
      </c>
      <c r="I74" s="240">
        <v>11.785</v>
      </c>
      <c r="J74" s="239">
        <v>5.5691431542133367</v>
      </c>
      <c r="K74" s="116">
        <v>50154.26</v>
      </c>
      <c r="L74" s="112">
        <v>4.7766711161310198E-2</v>
      </c>
      <c r="M74" s="242">
        <v>2027</v>
      </c>
      <c r="N74" s="112">
        <v>5.3999999999999999E-2</v>
      </c>
      <c r="O74" s="112">
        <v>5.7000000000000002E-2</v>
      </c>
      <c r="P74" s="19">
        <f t="shared" si="32"/>
        <v>1.5002103491796372E-2</v>
      </c>
      <c r="Q74" s="19">
        <f t="shared" si="33"/>
        <v>0.99243996642384236</v>
      </c>
      <c r="R74" s="19">
        <f t="shared" si="34"/>
        <v>7.6341535878757154E-3</v>
      </c>
      <c r="S74" s="19">
        <f t="shared" si="35"/>
        <v>1.2439415428947588E-2</v>
      </c>
      <c r="T74" s="19">
        <f t="shared" si="36"/>
        <v>0.99522729327803416</v>
      </c>
      <c r="U74" s="91">
        <f t="shared" si="37"/>
        <v>7.6555945636771873E-3</v>
      </c>
      <c r="V74" s="19">
        <f t="shared" si="38"/>
        <v>1.0553922294367711E-2</v>
      </c>
      <c r="W74" s="19">
        <f t="shared" si="39"/>
        <v>1.0022749984053749E-2</v>
      </c>
      <c r="X74" s="19">
        <f t="shared" si="40"/>
        <v>1.0162508311677004E-2</v>
      </c>
      <c r="Y74" s="19">
        <f t="shared" si="41"/>
        <v>0.99619451783688473</v>
      </c>
      <c r="Z74" s="91">
        <f t="shared" si="42"/>
        <v>7.663034752591418E-3</v>
      </c>
      <c r="AA74" s="19">
        <f t="shared" si="43"/>
        <v>9.8544961787163099E-3</v>
      </c>
      <c r="AB74" s="19">
        <f t="shared" si="44"/>
        <v>1.8453611063062734E-2</v>
      </c>
      <c r="AC74" s="19">
        <f t="shared" si="45"/>
        <v>1.0416666666666668E-2</v>
      </c>
      <c r="AD74" s="19">
        <f t="shared" si="46"/>
        <v>9.2340103529213353E-3</v>
      </c>
      <c r="AE74" s="23">
        <f>('Modelo AHP'!$U$37*aux!P74)+('Modelo AHP'!$U$38*aux!R74)+('Modelo AHP'!$U$39*aux!S74)</f>
        <v>1.2727695663695037E-2</v>
      </c>
      <c r="AF74" s="24">
        <f>aux!U74</f>
        <v>7.6555945636771873E-3</v>
      </c>
      <c r="AG74" s="23">
        <f>('Modelo AHP'!$U$47*aux!V74)+('Modelo AHP'!$U$48*aux!W74)+('Modelo AHP'!$U$49*aux!X74)</f>
        <v>1.0166762596886477E-2</v>
      </c>
      <c r="AH74" s="24">
        <f t="shared" si="47"/>
        <v>7.663034752591418E-3</v>
      </c>
      <c r="AI74" s="23">
        <f>('Modelo AHP'!$U$56*aux!AA74)+('Modelo AHP'!$U$57*aux!AB74)+('Modelo AHP'!$U$58*aux!AC74)+('Modelo AHP'!$U$59*aux!AD74)</f>
        <v>1.4144509796954913E-2</v>
      </c>
      <c r="AJ74" s="25">
        <f>('Modelo AHP'!$U$23*aux!AE74)+('Modelo AHP'!$U$24*aux!AF74)+('Modelo AHP'!$U$25*aux!AG74)+('Modelo AHP'!$U$26*aux!AH74)+('Modelo AHP'!$U$27*aux!AI74)</f>
        <v>9.9682256364620192E-3</v>
      </c>
    </row>
    <row r="75" spans="1:36">
      <c r="A75" s="248">
        <v>32</v>
      </c>
      <c r="B75" s="14" t="s">
        <v>84</v>
      </c>
      <c r="C75" s="15" t="s">
        <v>90</v>
      </c>
      <c r="D75" s="239">
        <v>8.99</v>
      </c>
      <c r="E75" s="240">
        <v>85.2</v>
      </c>
      <c r="F75" s="239">
        <v>44.598636200502455</v>
      </c>
      <c r="G75" s="241">
        <v>31740.53870539305</v>
      </c>
      <c r="H75" s="240">
        <v>7.74</v>
      </c>
      <c r="I75" s="240">
        <v>8.5850000000000009</v>
      </c>
      <c r="J75" s="239">
        <v>5.5691431542133367</v>
      </c>
      <c r="K75" s="116">
        <v>53616.32</v>
      </c>
      <c r="L75" s="112">
        <v>4.7766711161310198E-2</v>
      </c>
      <c r="M75" s="242">
        <v>2027</v>
      </c>
      <c r="N75" s="112">
        <v>5.3999999999999999E-2</v>
      </c>
      <c r="O75" s="112">
        <v>5.7000000000000002E-2</v>
      </c>
      <c r="P75" s="19">
        <f t="shared" si="32"/>
        <v>7.564156499789647E-3</v>
      </c>
      <c r="Q75" s="19">
        <f t="shared" si="33"/>
        <v>0.99233470355005793</v>
      </c>
      <c r="R75" s="19">
        <f t="shared" si="34"/>
        <v>7.6333438734619893E-3</v>
      </c>
      <c r="S75" s="19">
        <f t="shared" si="35"/>
        <v>9.3857613997951807E-3</v>
      </c>
      <c r="T75" s="19">
        <f t="shared" si="36"/>
        <v>0.99417612858422344</v>
      </c>
      <c r="U75" s="91">
        <f t="shared" si="37"/>
        <v>7.6475086814171049E-3</v>
      </c>
      <c r="V75" s="19">
        <f t="shared" si="38"/>
        <v>8.1851060679765612E-3</v>
      </c>
      <c r="W75" s="19">
        <f t="shared" si="39"/>
        <v>7.3012565645397915E-3</v>
      </c>
      <c r="X75" s="19">
        <f t="shared" si="40"/>
        <v>1.0162508311677004E-2</v>
      </c>
      <c r="Y75" s="19">
        <f t="shared" si="41"/>
        <v>0.99593183212329561</v>
      </c>
      <c r="Z75" s="91">
        <f t="shared" si="42"/>
        <v>7.6610140932561171E-3</v>
      </c>
      <c r="AA75" s="19">
        <f t="shared" si="43"/>
        <v>9.8544961787163099E-3</v>
      </c>
      <c r="AB75" s="19">
        <f t="shared" si="44"/>
        <v>1.8453611063062734E-2</v>
      </c>
      <c r="AC75" s="19">
        <f t="shared" si="45"/>
        <v>1.0416666666666668E-2</v>
      </c>
      <c r="AD75" s="19">
        <f t="shared" si="46"/>
        <v>9.2340103529213353E-3</v>
      </c>
      <c r="AE75" s="23">
        <f>('Modelo AHP'!$U$37*aux!P75)+('Modelo AHP'!$U$38*aux!R75)+('Modelo AHP'!$U$39*aux!S75)</f>
        <v>8.6640381771602003E-3</v>
      </c>
      <c r="AF75" s="24">
        <f>aux!U75</f>
        <v>7.6475086814171049E-3</v>
      </c>
      <c r="AG75" s="23">
        <f>('Modelo AHP'!$U$47*aux!V75)+('Modelo AHP'!$U$48*aux!W75)+('Modelo AHP'!$U$49*aux!X75)</f>
        <v>8.5591697731622965E-3</v>
      </c>
      <c r="AH75" s="24">
        <f t="shared" si="47"/>
        <v>7.6610140932561171E-3</v>
      </c>
      <c r="AI75" s="23">
        <f>('Modelo AHP'!$U$56*aux!AA75)+('Modelo AHP'!$U$57*aux!AB75)+('Modelo AHP'!$U$58*aux!AC75)+('Modelo AHP'!$U$59*aux!AD75)</f>
        <v>1.4144509796954913E-2</v>
      </c>
      <c r="AJ75" s="25">
        <f>('Modelo AHP'!$U$23*aux!AE75)+('Modelo AHP'!$U$24*aux!AF75)+('Modelo AHP'!$U$25*aux!AG75)+('Modelo AHP'!$U$26*aux!AH75)+('Modelo AHP'!$U$27*aux!AI75)</f>
        <v>8.7379460353691971E-3</v>
      </c>
    </row>
    <row r="76" spans="1:36">
      <c r="A76" s="248">
        <v>22</v>
      </c>
      <c r="B76" s="14" t="s">
        <v>84</v>
      </c>
      <c r="C76" s="15" t="s">
        <v>91</v>
      </c>
      <c r="D76" s="239">
        <v>15.71</v>
      </c>
      <c r="E76" s="240">
        <v>84.69</v>
      </c>
      <c r="F76" s="239">
        <v>55.782133929746088</v>
      </c>
      <c r="G76" s="241">
        <v>28513.255985806878</v>
      </c>
      <c r="H76" s="240">
        <v>9.57</v>
      </c>
      <c r="I76" s="240">
        <v>11.135</v>
      </c>
      <c r="J76" s="239">
        <v>5.5691431542133367</v>
      </c>
      <c r="K76" s="116">
        <v>50998.55</v>
      </c>
      <c r="L76" s="112">
        <v>4.7766711161310198E-2</v>
      </c>
      <c r="M76" s="242">
        <v>2027</v>
      </c>
      <c r="N76" s="112">
        <v>5.3999999999999999E-2</v>
      </c>
      <c r="O76" s="112">
        <v>5.7000000000000002E-2</v>
      </c>
      <c r="P76" s="19">
        <f t="shared" si="32"/>
        <v>1.3218342448464444E-2</v>
      </c>
      <c r="Q76" s="19">
        <f t="shared" si="33"/>
        <v>0.99238058736683576</v>
      </c>
      <c r="R76" s="19">
        <f t="shared" si="34"/>
        <v>7.6336968258987415E-3</v>
      </c>
      <c r="S76" s="19">
        <f t="shared" si="35"/>
        <v>1.1739323083384271E-2</v>
      </c>
      <c r="T76" s="19">
        <f t="shared" si="36"/>
        <v>0.99476828235186043</v>
      </c>
      <c r="U76" s="91">
        <f t="shared" si="37"/>
        <v>7.6520637103989278E-3</v>
      </c>
      <c r="V76" s="19">
        <f t="shared" si="38"/>
        <v>1.0120344324358616E-2</v>
      </c>
      <c r="W76" s="19">
        <f t="shared" si="39"/>
        <v>9.4699466332149769E-3</v>
      </c>
      <c r="X76" s="19">
        <f t="shared" si="40"/>
        <v>1.0162508311677004E-2</v>
      </c>
      <c r="Y76" s="19">
        <f t="shared" si="41"/>
        <v>0.9961304568670788</v>
      </c>
      <c r="Z76" s="91">
        <f t="shared" si="42"/>
        <v>7.6625419759006027E-3</v>
      </c>
      <c r="AA76" s="19">
        <f t="shared" si="43"/>
        <v>9.8544961787163099E-3</v>
      </c>
      <c r="AB76" s="19">
        <f t="shared" si="44"/>
        <v>1.8453611063062734E-2</v>
      </c>
      <c r="AC76" s="19">
        <f t="shared" si="45"/>
        <v>1.0416666666666668E-2</v>
      </c>
      <c r="AD76" s="19">
        <f t="shared" si="46"/>
        <v>9.2340103529213353E-3</v>
      </c>
      <c r="AE76" s="23">
        <f>('Modelo AHP'!$U$37*aux!P76)+('Modelo AHP'!$U$38*aux!R76)+('Modelo AHP'!$U$39*aux!S76)</f>
        <v>1.1772466267159769E-2</v>
      </c>
      <c r="AF76" s="24">
        <f>aux!U76</f>
        <v>7.6520637103989278E-3</v>
      </c>
      <c r="AG76" s="23">
        <f>('Modelo AHP'!$U$47*aux!V76)+('Modelo AHP'!$U$48*aux!W76)+('Modelo AHP'!$U$49*aux!X76)</f>
        <v>9.8482721587355455E-3</v>
      </c>
      <c r="AH76" s="24">
        <f t="shared" si="47"/>
        <v>7.6625419759006027E-3</v>
      </c>
      <c r="AI76" s="23">
        <f>('Modelo AHP'!$U$56*aux!AA76)+('Modelo AHP'!$U$57*aux!AB76)+('Modelo AHP'!$U$58*aux!AC76)+('Modelo AHP'!$U$59*aux!AD76)</f>
        <v>1.4144509796954913E-2</v>
      </c>
      <c r="AJ76" s="25">
        <f>('Modelo AHP'!$U$23*aux!AE76)+('Modelo AHP'!$U$24*aux!AF76)+('Modelo AHP'!$U$25*aux!AG76)+('Modelo AHP'!$U$26*aux!AH76)+('Modelo AHP'!$U$27*aux!AI76)</f>
        <v>9.6987997001704712E-3</v>
      </c>
    </row>
    <row r="77" spans="1:36">
      <c r="A77" s="248">
        <v>23</v>
      </c>
      <c r="B77" s="14" t="s">
        <v>92</v>
      </c>
      <c r="C77" s="15" t="s">
        <v>93</v>
      </c>
      <c r="D77" s="239">
        <v>6.09</v>
      </c>
      <c r="E77" s="240">
        <v>85.1</v>
      </c>
      <c r="F77" s="239">
        <v>61.050198542049429</v>
      </c>
      <c r="G77" s="241">
        <v>24998.38239042617</v>
      </c>
      <c r="H77" s="240">
        <v>10.27</v>
      </c>
      <c r="I77" s="240">
        <v>11.09</v>
      </c>
      <c r="J77" s="239">
        <v>6.0640408047605554</v>
      </c>
      <c r="K77" s="116">
        <v>53707.73</v>
      </c>
      <c r="L77" s="112">
        <v>6.3415453057455828E-2</v>
      </c>
      <c r="M77" s="242">
        <v>1564</v>
      </c>
      <c r="N77" s="112">
        <v>7.0000000000000007E-2</v>
      </c>
      <c r="O77" s="112">
        <v>8.2000000000000003E-2</v>
      </c>
      <c r="P77" s="19">
        <f t="shared" si="32"/>
        <v>5.1241060159865348E-3</v>
      </c>
      <c r="Q77" s="19">
        <f t="shared" si="33"/>
        <v>0.99234370037687702</v>
      </c>
      <c r="R77" s="19">
        <f t="shared" si="34"/>
        <v>7.6334130798221362E-3</v>
      </c>
      <c r="S77" s="19">
        <f t="shared" si="35"/>
        <v>1.2847984730962334E-2</v>
      </c>
      <c r="T77" s="19">
        <f t="shared" si="36"/>
        <v>0.99541320435687752</v>
      </c>
      <c r="U77" s="91">
        <f t="shared" si="37"/>
        <v>7.6570246488990596E-3</v>
      </c>
      <c r="V77" s="19">
        <f t="shared" si="38"/>
        <v>1.0860599395105849E-2</v>
      </c>
      <c r="W77" s="19">
        <f t="shared" si="39"/>
        <v>9.4316756320030615E-3</v>
      </c>
      <c r="X77" s="19">
        <f t="shared" si="40"/>
        <v>1.106559184676454E-2</v>
      </c>
      <c r="Y77" s="19">
        <f t="shared" si="41"/>
        <v>0.99592489633908643</v>
      </c>
      <c r="Z77" s="91">
        <f t="shared" si="42"/>
        <v>7.6609607410698926E-3</v>
      </c>
      <c r="AA77" s="19">
        <f t="shared" si="43"/>
        <v>1.3082904906637931E-2</v>
      </c>
      <c r="AB77" s="19">
        <f t="shared" si="44"/>
        <v>1.4238504046684813E-2</v>
      </c>
      <c r="AC77" s="19">
        <f t="shared" si="45"/>
        <v>1.3503086419753089E-2</v>
      </c>
      <c r="AD77" s="19">
        <f t="shared" si="46"/>
        <v>1.3284014893676307E-2</v>
      </c>
      <c r="AE77" s="23">
        <f>('Modelo AHP'!$U$37*aux!P77)+('Modelo AHP'!$U$38*aux!R77)+('Modelo AHP'!$U$39*aux!S77)</f>
        <v>1.0009363951355574E-2</v>
      </c>
      <c r="AF77" s="24">
        <f>aux!U77</f>
        <v>7.6570246488990596E-3</v>
      </c>
      <c r="AG77" s="23">
        <f>('Modelo AHP'!$U$47*aux!V77)+('Modelo AHP'!$U$48*aux!W77)+('Modelo AHP'!$U$49*aux!X77)</f>
        <v>1.030638112998683E-2</v>
      </c>
      <c r="AH77" s="24">
        <f t="shared" si="47"/>
        <v>7.6609607410698926E-3</v>
      </c>
      <c r="AI77" s="23">
        <f>('Modelo AHP'!$U$56*aux!AA77)+('Modelo AHP'!$U$57*aux!AB77)+('Modelo AHP'!$U$58*aux!AC77)+('Modelo AHP'!$U$59*aux!AD77)</f>
        <v>1.3769649467065791E-2</v>
      </c>
      <c r="AJ77" s="25">
        <f>('Modelo AHP'!$U$23*aux!AE77)+('Modelo AHP'!$U$24*aux!AF77)+('Modelo AHP'!$U$25*aux!AG77)+('Modelo AHP'!$U$26*aux!AH77)+('Modelo AHP'!$U$27*aux!AI77)</f>
        <v>9.527499798821391E-3</v>
      </c>
    </row>
    <row r="78" spans="1:36">
      <c r="A78" s="248">
        <v>10</v>
      </c>
      <c r="B78" s="14" t="s">
        <v>92</v>
      </c>
      <c r="C78" s="15" t="s">
        <v>94</v>
      </c>
      <c r="D78" s="239">
        <v>12.33</v>
      </c>
      <c r="E78" s="240">
        <v>82.17</v>
      </c>
      <c r="F78" s="239">
        <v>65.261365912277185</v>
      </c>
      <c r="G78" s="241">
        <v>25064.374033605254</v>
      </c>
      <c r="H78" s="240">
        <v>12.32</v>
      </c>
      <c r="I78" s="240">
        <v>13.4</v>
      </c>
      <c r="J78" s="239">
        <v>6.0640408047605554</v>
      </c>
      <c r="K78" s="116">
        <v>53364.35</v>
      </c>
      <c r="L78" s="112">
        <v>6.3415453057455828E-2</v>
      </c>
      <c r="M78" s="242">
        <v>1564</v>
      </c>
      <c r="N78" s="112">
        <v>7.0000000000000007E-2</v>
      </c>
      <c r="O78" s="112">
        <v>8.2000000000000003E-2</v>
      </c>
      <c r="P78" s="19">
        <f t="shared" si="32"/>
        <v>1.037442153975599E-2</v>
      </c>
      <c r="Q78" s="19">
        <f t="shared" si="33"/>
        <v>0.99260730740267911</v>
      </c>
      <c r="R78" s="19">
        <f t="shared" si="34"/>
        <v>7.6354408261744599E-3</v>
      </c>
      <c r="S78" s="19">
        <f t="shared" si="35"/>
        <v>1.3734222865551647E-2</v>
      </c>
      <c r="T78" s="19">
        <f t="shared" si="36"/>
        <v>0.995401095966155</v>
      </c>
      <c r="U78" s="91">
        <f t="shared" si="37"/>
        <v>7.6569315074319633E-3</v>
      </c>
      <c r="V78" s="19">
        <f t="shared" si="38"/>
        <v>1.3028489245151322E-2</v>
      </c>
      <c r="W78" s="19">
        <f t="shared" si="39"/>
        <v>1.13962536942147E-2</v>
      </c>
      <c r="X78" s="19">
        <f t="shared" si="40"/>
        <v>1.106559184676454E-2</v>
      </c>
      <c r="Y78" s="19">
        <f t="shared" si="41"/>
        <v>0.99595095048613536</v>
      </c>
      <c r="Z78" s="91">
        <f t="shared" si="42"/>
        <v>7.6611611575856534E-3</v>
      </c>
      <c r="AA78" s="19">
        <f t="shared" si="43"/>
        <v>1.3082904906637931E-2</v>
      </c>
      <c r="AB78" s="19">
        <f t="shared" si="44"/>
        <v>1.4238504046684813E-2</v>
      </c>
      <c r="AC78" s="19">
        <f t="shared" si="45"/>
        <v>1.3503086419753089E-2</v>
      </c>
      <c r="AD78" s="19">
        <f t="shared" si="46"/>
        <v>1.3284014893676307E-2</v>
      </c>
      <c r="AE78" s="23">
        <f>('Modelo AHP'!$U$37*aux!P78)+('Modelo AHP'!$U$38*aux!R78)+('Modelo AHP'!$U$39*aux!S78)</f>
        <v>1.2116404263875231E-2</v>
      </c>
      <c r="AF78" s="24">
        <f>aux!U78</f>
        <v>7.6569315074319633E-3</v>
      </c>
      <c r="AG78" s="23">
        <f>('Modelo AHP'!$U$47*aux!V78)+('Modelo AHP'!$U$48*aux!W78)+('Modelo AHP'!$U$49*aux!X78)</f>
        <v>1.1544338929718557E-2</v>
      </c>
      <c r="AH78" s="24">
        <f t="shared" si="47"/>
        <v>7.6611611575856534E-3</v>
      </c>
      <c r="AI78" s="23">
        <f>('Modelo AHP'!$U$56*aux!AA78)+('Modelo AHP'!$U$57*aux!AB78)+('Modelo AHP'!$U$58*aux!AC78)+('Modelo AHP'!$U$59*aux!AD78)</f>
        <v>1.3769649467065791E-2</v>
      </c>
      <c r="AJ78" s="25">
        <f>('Modelo AHP'!$U$23*aux!AE78)+('Modelo AHP'!$U$24*aux!AF78)+('Modelo AHP'!$U$25*aux!AG78)+('Modelo AHP'!$U$26*aux!AH78)+('Modelo AHP'!$U$27*aux!AI78)</f>
        <v>1.0302160146454523E-2</v>
      </c>
    </row>
    <row r="79" spans="1:36">
      <c r="A79" s="248">
        <v>17</v>
      </c>
      <c r="B79" s="14" t="s">
        <v>92</v>
      </c>
      <c r="C79" s="15" t="s">
        <v>95</v>
      </c>
      <c r="D79" s="239">
        <v>15.36</v>
      </c>
      <c r="E79" s="240">
        <v>82.93</v>
      </c>
      <c r="F79" s="239">
        <v>58.775631500742939</v>
      </c>
      <c r="G79" s="241">
        <v>25998.218905385784</v>
      </c>
      <c r="H79" s="240">
        <v>10.11</v>
      </c>
      <c r="I79" s="240">
        <v>11.34</v>
      </c>
      <c r="J79" s="239">
        <v>6.0640408047605554</v>
      </c>
      <c r="K79" s="116">
        <v>50516.83</v>
      </c>
      <c r="L79" s="112">
        <v>6.3415453057455828E-2</v>
      </c>
      <c r="M79" s="242">
        <v>1564</v>
      </c>
      <c r="N79" s="112">
        <v>7.0000000000000007E-2</v>
      </c>
      <c r="O79" s="112">
        <v>8.2000000000000003E-2</v>
      </c>
      <c r="P79" s="19">
        <f t="shared" si="32"/>
        <v>1.2923853596970965E-2</v>
      </c>
      <c r="Q79" s="19">
        <f t="shared" si="33"/>
        <v>0.99253893151885331</v>
      </c>
      <c r="R79" s="19">
        <f t="shared" si="34"/>
        <v>7.6349148578373381E-3</v>
      </c>
      <c r="S79" s="19">
        <f t="shared" si="35"/>
        <v>1.2369303198155726E-2</v>
      </c>
      <c r="T79" s="19">
        <f t="shared" si="36"/>
        <v>0.995229750655793</v>
      </c>
      <c r="U79" s="91">
        <f t="shared" si="37"/>
        <v>7.6556134665830252E-3</v>
      </c>
      <c r="V79" s="19">
        <f t="shared" si="38"/>
        <v>1.069139823607791E-2</v>
      </c>
      <c r="W79" s="19">
        <f t="shared" si="39"/>
        <v>9.6442923054025891E-3</v>
      </c>
      <c r="X79" s="19">
        <f t="shared" si="40"/>
        <v>1.106559184676454E-2</v>
      </c>
      <c r="Y79" s="19">
        <f t="shared" si="41"/>
        <v>0.99616700763799271</v>
      </c>
      <c r="Z79" s="91">
        <f t="shared" si="42"/>
        <v>7.6628231356768639E-3</v>
      </c>
      <c r="AA79" s="19">
        <f t="shared" si="43"/>
        <v>1.3082904906637931E-2</v>
      </c>
      <c r="AB79" s="19">
        <f t="shared" si="44"/>
        <v>1.4238504046684813E-2</v>
      </c>
      <c r="AC79" s="19">
        <f t="shared" si="45"/>
        <v>1.3503086419753089E-2</v>
      </c>
      <c r="AD79" s="19">
        <f t="shared" si="46"/>
        <v>1.3284014893676307E-2</v>
      </c>
      <c r="AE79" s="23">
        <f>('Modelo AHP'!$U$37*aux!P79)+('Modelo AHP'!$U$38*aux!R79)+('Modelo AHP'!$U$39*aux!S79)</f>
        <v>1.2062229483768458E-2</v>
      </c>
      <c r="AF79" s="24">
        <f>aux!U79</f>
        <v>7.6556134665830252E-3</v>
      </c>
      <c r="AG79" s="23">
        <f>('Modelo AHP'!$U$47*aux!V79)+('Modelo AHP'!$U$48*aux!W79)+('Modelo AHP'!$U$49*aux!X79)</f>
        <v>1.0372032738311516E-2</v>
      </c>
      <c r="AH79" s="24">
        <f t="shared" si="47"/>
        <v>7.6628231356768639E-3</v>
      </c>
      <c r="AI79" s="23">
        <f>('Modelo AHP'!$U$56*aux!AA79)+('Modelo AHP'!$U$57*aux!AB79)+('Modelo AHP'!$U$58*aux!AC79)+('Modelo AHP'!$U$59*aux!AD79)</f>
        <v>1.3769649467065791E-2</v>
      </c>
      <c r="AJ79" s="25">
        <f>('Modelo AHP'!$U$23*aux!AE79)+('Modelo AHP'!$U$24*aux!AF79)+('Modelo AHP'!$U$25*aux!AG79)+('Modelo AHP'!$U$26*aux!AH79)+('Modelo AHP'!$U$27*aux!AI79)</f>
        <v>9.8922116879225867E-3</v>
      </c>
    </row>
    <row r="80" spans="1:36">
      <c r="A80" s="248">
        <v>11</v>
      </c>
      <c r="B80" s="14" t="s">
        <v>92</v>
      </c>
      <c r="C80" s="15" t="s">
        <v>96</v>
      </c>
      <c r="D80" s="239">
        <v>24.41</v>
      </c>
      <c r="E80" s="240">
        <v>83.77</v>
      </c>
      <c r="F80" s="239">
        <v>60.182238032827811</v>
      </c>
      <c r="G80" s="241">
        <v>25886.787822663809</v>
      </c>
      <c r="H80" s="240">
        <v>9.43</v>
      </c>
      <c r="I80" s="240">
        <v>11.329999999999998</v>
      </c>
      <c r="J80" s="239">
        <v>6.0640408047605554</v>
      </c>
      <c r="K80" s="116">
        <v>54568.06</v>
      </c>
      <c r="L80" s="112">
        <v>6.3415453057455828E-2</v>
      </c>
      <c r="M80" s="242">
        <v>1564</v>
      </c>
      <c r="N80" s="112">
        <v>7.0000000000000007E-2</v>
      </c>
      <c r="O80" s="112">
        <v>8.2000000000000003E-2</v>
      </c>
      <c r="P80" s="19">
        <f t="shared" si="32"/>
        <v>2.0538493899873778E-2</v>
      </c>
      <c r="Q80" s="19">
        <f t="shared" si="33"/>
        <v>0.99246335817357223</v>
      </c>
      <c r="R80" s="19">
        <f t="shared" si="34"/>
        <v>7.6343335244120989E-3</v>
      </c>
      <c r="S80" s="19">
        <f t="shared" si="35"/>
        <v>1.2665322861945204E-2</v>
      </c>
      <c r="T80" s="19">
        <f t="shared" si="36"/>
        <v>0.99525019644291457</v>
      </c>
      <c r="U80" s="91">
        <f t="shared" si="37"/>
        <v>7.6557707418685754E-3</v>
      </c>
      <c r="V80" s="19">
        <f t="shared" si="38"/>
        <v>9.9722933102091692E-3</v>
      </c>
      <c r="W80" s="19">
        <f t="shared" si="39"/>
        <v>9.6357876384666075E-3</v>
      </c>
      <c r="X80" s="19">
        <f t="shared" si="40"/>
        <v>1.106559184676454E-2</v>
      </c>
      <c r="Y80" s="19">
        <f t="shared" si="41"/>
        <v>0.99585961832542624</v>
      </c>
      <c r="Z80" s="91">
        <f t="shared" si="42"/>
        <v>7.6604586025032758E-3</v>
      </c>
      <c r="AA80" s="19">
        <f t="shared" si="43"/>
        <v>1.3082904906637931E-2</v>
      </c>
      <c r="AB80" s="19">
        <f t="shared" si="44"/>
        <v>1.4238504046684813E-2</v>
      </c>
      <c r="AC80" s="19">
        <f t="shared" si="45"/>
        <v>1.3503086419753089E-2</v>
      </c>
      <c r="AD80" s="19">
        <f t="shared" si="46"/>
        <v>1.3284014893676307E-2</v>
      </c>
      <c r="AE80" s="23">
        <f>('Modelo AHP'!$U$37*aux!P80)+('Modelo AHP'!$U$38*aux!R80)+('Modelo AHP'!$U$39*aux!S80)</f>
        <v>1.4524175239570464E-2</v>
      </c>
      <c r="AF80" s="24">
        <f>aux!U80</f>
        <v>7.6557707418685754E-3</v>
      </c>
      <c r="AG80" s="23">
        <f>('Modelo AHP'!$U$47*aux!V80)+('Modelo AHP'!$U$48*aux!W80)+('Modelo AHP'!$U$49*aux!X80)</f>
        <v>1.0246589058401985E-2</v>
      </c>
      <c r="AH80" s="24">
        <f t="shared" si="47"/>
        <v>7.6604586025032758E-3</v>
      </c>
      <c r="AI80" s="23">
        <f>('Modelo AHP'!$U$56*aux!AA80)+('Modelo AHP'!$U$57*aux!AB80)+('Modelo AHP'!$U$58*aux!AC80)+('Modelo AHP'!$U$59*aux!AD80)</f>
        <v>1.3769649467065791E-2</v>
      </c>
      <c r="AJ80" s="25">
        <f>('Modelo AHP'!$U$23*aux!AE80)+('Modelo AHP'!$U$24*aux!AF80)+('Modelo AHP'!$U$25*aux!AG80)+('Modelo AHP'!$U$26*aux!AH80)+('Modelo AHP'!$U$27*aux!AI80)</f>
        <v>1.0260079087453026E-2</v>
      </c>
    </row>
    <row r="81" spans="1:36">
      <c r="A81" s="248">
        <v>14</v>
      </c>
      <c r="B81" s="14" t="s">
        <v>92</v>
      </c>
      <c r="C81" s="15" t="s">
        <v>97</v>
      </c>
      <c r="D81" s="239">
        <v>23.71</v>
      </c>
      <c r="E81" s="240">
        <v>84.76</v>
      </c>
      <c r="F81" s="239">
        <v>57.133082449538144</v>
      </c>
      <c r="G81" s="241">
        <v>26567.264148777758</v>
      </c>
      <c r="H81" s="240">
        <v>8.56</v>
      </c>
      <c r="I81" s="240">
        <v>10.879999999999999</v>
      </c>
      <c r="J81" s="239">
        <v>6.0640408047605554</v>
      </c>
      <c r="K81" s="116">
        <v>51812.13</v>
      </c>
      <c r="L81" s="112">
        <v>6.3415453057455828E-2</v>
      </c>
      <c r="M81" s="242">
        <v>1564</v>
      </c>
      <c r="N81" s="112">
        <v>7.0000000000000007E-2</v>
      </c>
      <c r="O81" s="112">
        <v>8.2000000000000003E-2</v>
      </c>
      <c r="P81" s="19">
        <f t="shared" si="32"/>
        <v>1.994951619688682E-2</v>
      </c>
      <c r="Q81" s="19">
        <f t="shared" si="33"/>
        <v>0.99237428958806229</v>
      </c>
      <c r="R81" s="19">
        <f t="shared" si="34"/>
        <v>7.633648381446638E-3</v>
      </c>
      <c r="S81" s="19">
        <f t="shared" si="35"/>
        <v>1.2023629545428774E-2</v>
      </c>
      <c r="T81" s="19">
        <f t="shared" si="36"/>
        <v>0.99512534013024911</v>
      </c>
      <c r="U81" s="91">
        <f t="shared" si="37"/>
        <v>7.6548103086942253E-3</v>
      </c>
      <c r="V81" s="19">
        <f t="shared" si="38"/>
        <v>9.0522620079947491E-3</v>
      </c>
      <c r="W81" s="19">
        <f t="shared" si="39"/>
        <v>9.2530776263474567E-3</v>
      </c>
      <c r="X81" s="19">
        <f t="shared" si="40"/>
        <v>1.106559184676454E-2</v>
      </c>
      <c r="Y81" s="19">
        <f t="shared" si="41"/>
        <v>0.99606872603547514</v>
      </c>
      <c r="Z81" s="91">
        <f t="shared" si="42"/>
        <v>7.662067123349805E-3</v>
      </c>
      <c r="AA81" s="19">
        <f t="shared" si="43"/>
        <v>1.3082904906637931E-2</v>
      </c>
      <c r="AB81" s="19">
        <f t="shared" si="44"/>
        <v>1.4238504046684813E-2</v>
      </c>
      <c r="AC81" s="19">
        <f t="shared" si="45"/>
        <v>1.3503086419753089E-2</v>
      </c>
      <c r="AD81" s="19">
        <f t="shared" si="46"/>
        <v>1.3284014893676307E-2</v>
      </c>
      <c r="AE81" s="23">
        <f>('Modelo AHP'!$U$37*aux!P81)+('Modelo AHP'!$U$38*aux!R81)+('Modelo AHP'!$U$39*aux!S81)</f>
        <v>1.3962397424467974E-2</v>
      </c>
      <c r="AF81" s="24">
        <f>aux!U81</f>
        <v>7.6548103086942253E-3</v>
      </c>
      <c r="AG81" s="23">
        <f>('Modelo AHP'!$U$47*aux!V81)+('Modelo AHP'!$U$48*aux!W81)+('Modelo AHP'!$U$49*aux!X81)</f>
        <v>9.9212151161599087E-3</v>
      </c>
      <c r="AH81" s="24">
        <f t="shared" si="47"/>
        <v>7.662067123349805E-3</v>
      </c>
      <c r="AI81" s="23">
        <f>('Modelo AHP'!$U$56*aux!AA81)+('Modelo AHP'!$U$57*aux!AB81)+('Modelo AHP'!$U$58*aux!AC81)+('Modelo AHP'!$U$59*aux!AD81)</f>
        <v>1.3769649467065791E-2</v>
      </c>
      <c r="AJ81" s="25">
        <f>('Modelo AHP'!$U$23*aux!AE81)+('Modelo AHP'!$U$24*aux!AF81)+('Modelo AHP'!$U$25*aux!AG81)+('Modelo AHP'!$U$26*aux!AH81)+('Modelo AHP'!$U$27*aux!AI81)</f>
        <v>1.0054949209831146E-2</v>
      </c>
    </row>
    <row r="82" spans="1:36">
      <c r="A82" s="248">
        <v>12</v>
      </c>
      <c r="B82" s="14" t="s">
        <v>92</v>
      </c>
      <c r="C82" s="15" t="s">
        <v>324</v>
      </c>
      <c r="D82" s="239">
        <v>19.600000000000001</v>
      </c>
      <c r="E82" s="240">
        <v>85.28</v>
      </c>
      <c r="F82" s="239">
        <v>63.022508038585208</v>
      </c>
      <c r="G82" s="241">
        <v>25753.380382685125</v>
      </c>
      <c r="H82" s="240">
        <v>9.36</v>
      </c>
      <c r="I82" s="240">
        <v>11.245000000000001</v>
      </c>
      <c r="J82" s="239">
        <v>6.0640408047605554</v>
      </c>
      <c r="K82" s="116">
        <v>42205.62</v>
      </c>
      <c r="L82" s="112">
        <v>6.3415453057455828E-2</v>
      </c>
      <c r="M82" s="242">
        <v>1564</v>
      </c>
      <c r="N82" s="112">
        <v>7.0000000000000007E-2</v>
      </c>
      <c r="O82" s="112">
        <v>8.2000000000000003E-2</v>
      </c>
      <c r="P82" s="19">
        <f t="shared" si="32"/>
        <v>1.6491375683634825E-2</v>
      </c>
      <c r="Q82" s="19">
        <f t="shared" si="33"/>
        <v>0.99232750608860254</v>
      </c>
      <c r="R82" s="19">
        <f t="shared" si="34"/>
        <v>7.633288508373871E-3</v>
      </c>
      <c r="S82" s="19">
        <f t="shared" si="35"/>
        <v>1.3263056309783985E-2</v>
      </c>
      <c r="T82" s="19">
        <f t="shared" si="36"/>
        <v>0.9952746745333324</v>
      </c>
      <c r="U82" s="91">
        <f t="shared" si="37"/>
        <v>7.655959034871789E-3</v>
      </c>
      <c r="V82" s="19">
        <f t="shared" si="38"/>
        <v>9.8982678031344449E-3</v>
      </c>
      <c r="W82" s="19">
        <f t="shared" si="39"/>
        <v>9.5634979695107692E-3</v>
      </c>
      <c r="X82" s="19">
        <f t="shared" si="40"/>
        <v>1.106559184676454E-2</v>
      </c>
      <c r="Y82" s="19">
        <f t="shared" si="41"/>
        <v>0.99679762528460747</v>
      </c>
      <c r="Z82" s="91">
        <f t="shared" si="42"/>
        <v>7.6676740406508232E-3</v>
      </c>
      <c r="AA82" s="19">
        <f t="shared" si="43"/>
        <v>1.3082904906637931E-2</v>
      </c>
      <c r="AB82" s="19">
        <f t="shared" si="44"/>
        <v>1.4238504046684813E-2</v>
      </c>
      <c r="AC82" s="19">
        <f t="shared" si="45"/>
        <v>1.3503086419753089E-2</v>
      </c>
      <c r="AD82" s="19">
        <f t="shared" si="46"/>
        <v>1.3284014893676307E-2</v>
      </c>
      <c r="AE82" s="23">
        <f>('Modelo AHP'!$U$37*aux!P82)+('Modelo AHP'!$U$38*aux!R82)+('Modelo AHP'!$U$39*aux!S82)</f>
        <v>1.3668575341798224E-2</v>
      </c>
      <c r="AF82" s="24">
        <f>aux!U82</f>
        <v>7.655959034871789E-3</v>
      </c>
      <c r="AG82" s="23">
        <f>('Modelo AHP'!$U$47*aux!V82)+('Modelo AHP'!$U$48*aux!W82)+('Modelo AHP'!$U$49*aux!X82)</f>
        <v>1.0202008608049267E-2</v>
      </c>
      <c r="AH82" s="24">
        <f t="shared" si="47"/>
        <v>7.6676740406508232E-3</v>
      </c>
      <c r="AI82" s="23">
        <f>('Modelo AHP'!$U$56*aux!AA82)+('Modelo AHP'!$U$57*aux!AB82)+('Modelo AHP'!$U$58*aux!AC82)+('Modelo AHP'!$U$59*aux!AD82)</f>
        <v>1.3769649467065791E-2</v>
      </c>
      <c r="AJ82" s="25">
        <f>('Modelo AHP'!$U$23*aux!AE82)+('Modelo AHP'!$U$24*aux!AF82)+('Modelo AHP'!$U$25*aux!AG82)+('Modelo AHP'!$U$26*aux!AH82)+('Modelo AHP'!$U$27*aux!AI82)</f>
        <v>1.0102661055107978E-2</v>
      </c>
    </row>
    <row r="83" spans="1:36">
      <c r="A83" s="248">
        <v>6</v>
      </c>
      <c r="B83" s="14" t="s">
        <v>92</v>
      </c>
      <c r="C83" s="15" t="s">
        <v>98</v>
      </c>
      <c r="D83" s="239">
        <v>31.14</v>
      </c>
      <c r="E83" s="240">
        <v>84.03</v>
      </c>
      <c r="F83" s="239">
        <v>69.125227410551844</v>
      </c>
      <c r="G83" s="241">
        <v>23478.687107608868</v>
      </c>
      <c r="H83" s="240">
        <v>9.2100000000000009</v>
      </c>
      <c r="I83" s="240">
        <v>11.09</v>
      </c>
      <c r="J83" s="239">
        <v>6.0640408047605554</v>
      </c>
      <c r="K83" s="116">
        <v>44223.66</v>
      </c>
      <c r="L83" s="112">
        <v>6.3415453057455828E-2</v>
      </c>
      <c r="M83" s="242">
        <v>1564</v>
      </c>
      <c r="N83" s="112">
        <v>7.0000000000000007E-2</v>
      </c>
      <c r="O83" s="112">
        <v>8.2000000000000003E-2</v>
      </c>
      <c r="P83" s="19">
        <f t="shared" si="32"/>
        <v>2.6201093815734103E-2</v>
      </c>
      <c r="Q83" s="19">
        <f t="shared" si="33"/>
        <v>0.99243996642384236</v>
      </c>
      <c r="R83" s="19">
        <f t="shared" si="34"/>
        <v>7.6341535878757154E-3</v>
      </c>
      <c r="S83" s="19">
        <f t="shared" si="35"/>
        <v>1.4547370647506748E-2</v>
      </c>
      <c r="T83" s="19">
        <f t="shared" si="36"/>
        <v>0.99569204366708708</v>
      </c>
      <c r="U83" s="91">
        <f t="shared" si="37"/>
        <v>7.6591695666699024E-3</v>
      </c>
      <c r="V83" s="19">
        <f t="shared" si="38"/>
        <v>9.7396417165457536E-3</v>
      </c>
      <c r="W83" s="19">
        <f t="shared" si="39"/>
        <v>9.4316756320030615E-3</v>
      </c>
      <c r="X83" s="19">
        <f t="shared" si="40"/>
        <v>1.106559184676454E-2</v>
      </c>
      <c r="Y83" s="19">
        <f t="shared" si="41"/>
        <v>0.99664450538563076</v>
      </c>
      <c r="Z83" s="91">
        <f t="shared" si="42"/>
        <v>7.6664961952740791E-3</v>
      </c>
      <c r="AA83" s="19">
        <f t="shared" si="43"/>
        <v>1.3082904906637931E-2</v>
      </c>
      <c r="AB83" s="19">
        <f t="shared" si="44"/>
        <v>1.4238504046684813E-2</v>
      </c>
      <c r="AC83" s="19">
        <f t="shared" si="45"/>
        <v>1.3503086419753089E-2</v>
      </c>
      <c r="AD83" s="19">
        <f t="shared" si="46"/>
        <v>1.3284014893676307E-2</v>
      </c>
      <c r="AE83" s="23">
        <f>('Modelo AHP'!$U$37*aux!P83)+('Modelo AHP'!$U$38*aux!R83)+('Modelo AHP'!$U$39*aux!S83)</f>
        <v>1.7352165892011849E-2</v>
      </c>
      <c r="AF83" s="24">
        <f>aux!U83</f>
        <v>7.6591695666699024E-3</v>
      </c>
      <c r="AG83" s="23">
        <f>('Modelo AHP'!$U$47*aux!V83)+('Modelo AHP'!$U$48*aux!W83)+('Modelo AHP'!$U$49*aux!X83)</f>
        <v>1.0116715231806267E-2</v>
      </c>
      <c r="AH83" s="24">
        <f t="shared" si="47"/>
        <v>7.6664961952740791E-3</v>
      </c>
      <c r="AI83" s="23">
        <f>('Modelo AHP'!$U$56*aux!AA83)+('Modelo AHP'!$U$57*aux!AB83)+('Modelo AHP'!$U$58*aux!AC83)+('Modelo AHP'!$U$59*aux!AD83)</f>
        <v>1.3769649467065791E-2</v>
      </c>
      <c r="AJ83" s="25">
        <f>('Modelo AHP'!$U$23*aux!AE83)+('Modelo AHP'!$U$24*aux!AF83)+('Modelo AHP'!$U$25*aux!AG83)+('Modelo AHP'!$U$26*aux!AH83)+('Modelo AHP'!$U$27*aux!AI83)</f>
        <v>1.0689197194436032E-2</v>
      </c>
    </row>
    <row r="84" spans="1:36">
      <c r="A84" s="248">
        <v>3</v>
      </c>
      <c r="B84" s="14" t="s">
        <v>99</v>
      </c>
      <c r="C84" s="15" t="s">
        <v>100</v>
      </c>
      <c r="D84" s="239">
        <v>11.79</v>
      </c>
      <c r="E84" s="240">
        <v>83.14</v>
      </c>
      <c r="F84" s="239">
        <v>71.868316529178131</v>
      </c>
      <c r="G84" s="241">
        <v>21622.884063982714</v>
      </c>
      <c r="H84" s="240">
        <v>12.9</v>
      </c>
      <c r="I84" s="240">
        <v>14.59</v>
      </c>
      <c r="J84" s="239">
        <v>6.6941894140119542</v>
      </c>
      <c r="K84" s="116">
        <v>43005.1</v>
      </c>
      <c r="L84" s="112">
        <v>6.2042490283507001E-2</v>
      </c>
      <c r="M84" s="242">
        <v>3412</v>
      </c>
      <c r="N84" s="112">
        <v>7.1999999999999995E-2</v>
      </c>
      <c r="O84" s="112">
        <v>8.2000000000000003E-2</v>
      </c>
      <c r="P84" s="19">
        <f t="shared" si="32"/>
        <v>9.9200673117374773E-3</v>
      </c>
      <c r="Q84" s="19">
        <f t="shared" si="33"/>
        <v>0.99252003818253298</v>
      </c>
      <c r="R84" s="19">
        <f t="shared" si="34"/>
        <v>7.6347695244810276E-3</v>
      </c>
      <c r="S84" s="19">
        <f t="shared" si="35"/>
        <v>1.512465242469057E-2</v>
      </c>
      <c r="T84" s="19">
        <f t="shared" si="36"/>
        <v>0.9960325532721509</v>
      </c>
      <c r="U84" s="91">
        <f t="shared" si="37"/>
        <v>7.6617888713242394E-3</v>
      </c>
      <c r="V84" s="19">
        <f t="shared" si="38"/>
        <v>1.3641843446627602E-2</v>
      </c>
      <c r="W84" s="19">
        <f t="shared" si="39"/>
        <v>1.2408309059596454E-2</v>
      </c>
      <c r="X84" s="19">
        <f t="shared" si="40"/>
        <v>1.2215479774185507E-2</v>
      </c>
      <c r="Y84" s="19">
        <f t="shared" si="41"/>
        <v>0.99673696429828718</v>
      </c>
      <c r="Z84" s="91">
        <f t="shared" si="42"/>
        <v>7.6672074176791288E-3</v>
      </c>
      <c r="AA84" s="19">
        <f t="shared" si="43"/>
        <v>1.2799656257516839E-2</v>
      </c>
      <c r="AB84" s="19">
        <f t="shared" si="44"/>
        <v>3.1062516500823902E-2</v>
      </c>
      <c r="AC84" s="19">
        <f t="shared" si="45"/>
        <v>1.388888888888889E-2</v>
      </c>
      <c r="AD84" s="19">
        <f t="shared" si="46"/>
        <v>1.3284014893676307E-2</v>
      </c>
      <c r="AE84" s="23">
        <f>('Modelo AHP'!$U$37*aux!P84)+('Modelo AHP'!$U$38*aux!R84)+('Modelo AHP'!$U$39*aux!S84)</f>
        <v>1.2814288600783687E-2</v>
      </c>
      <c r="AF84" s="24">
        <f>aux!U84</f>
        <v>7.6617888713242394E-3</v>
      </c>
      <c r="AG84" s="23">
        <f>('Modelo AHP'!$U$47*aux!V84)+('Modelo AHP'!$U$48*aux!W84)+('Modelo AHP'!$U$49*aux!X84)</f>
        <v>1.2542326447323438E-2</v>
      </c>
      <c r="AH84" s="24">
        <f t="shared" si="47"/>
        <v>7.6672074176791288E-3</v>
      </c>
      <c r="AI84" s="23">
        <f>('Modelo AHP'!$U$56*aux!AA84)+('Modelo AHP'!$U$57*aux!AB84)+('Modelo AHP'!$U$58*aux!AC84)+('Modelo AHP'!$U$59*aux!AD84)</f>
        <v>2.2113508383979255E-2</v>
      </c>
      <c r="AJ84" s="25">
        <f>('Modelo AHP'!$U$23*aux!AE84)+('Modelo AHP'!$U$24*aux!AF84)+('Modelo AHP'!$U$25*aux!AG84)+('Modelo AHP'!$U$26*aux!AH84)+('Modelo AHP'!$U$27*aux!AI84)</f>
        <v>1.1542827340878307E-2</v>
      </c>
    </row>
    <row r="85" spans="1:36">
      <c r="A85" s="248">
        <v>2</v>
      </c>
      <c r="B85" s="14" t="s">
        <v>99</v>
      </c>
      <c r="C85" s="15" t="s">
        <v>101</v>
      </c>
      <c r="D85" s="239">
        <v>24.36</v>
      </c>
      <c r="E85" s="240">
        <v>83.57</v>
      </c>
      <c r="F85" s="239">
        <v>61.614066439033728</v>
      </c>
      <c r="G85" s="241">
        <v>21337.937648363783</v>
      </c>
      <c r="H85" s="240">
        <v>10.6</v>
      </c>
      <c r="I85" s="240">
        <v>13.350000000000001</v>
      </c>
      <c r="J85" s="239">
        <v>6.6941894140119542</v>
      </c>
      <c r="K85" s="116">
        <v>45260.05</v>
      </c>
      <c r="L85" s="112">
        <v>6.2042490283507001E-2</v>
      </c>
      <c r="M85" s="242">
        <v>3412</v>
      </c>
      <c r="N85" s="112">
        <v>7.1999999999999995E-2</v>
      </c>
      <c r="O85" s="112">
        <v>8.2000000000000003E-2</v>
      </c>
      <c r="P85" s="19">
        <f t="shared" si="32"/>
        <v>2.0496424063946139E-2</v>
      </c>
      <c r="Q85" s="19">
        <f t="shared" si="33"/>
        <v>0.99248135182721053</v>
      </c>
      <c r="R85" s="19">
        <f t="shared" si="34"/>
        <v>7.6344719371323937E-3</v>
      </c>
      <c r="S85" s="19">
        <f t="shared" si="35"/>
        <v>1.296665045693445E-2</v>
      </c>
      <c r="T85" s="19">
        <f t="shared" si="36"/>
        <v>0.99608483629419897</v>
      </c>
      <c r="U85" s="91">
        <f t="shared" si="37"/>
        <v>7.6621910484169168E-3</v>
      </c>
      <c r="V85" s="19">
        <f t="shared" si="38"/>
        <v>1.1209576785600974E-2</v>
      </c>
      <c r="W85" s="19">
        <f t="shared" si="39"/>
        <v>1.1353730359534795E-2</v>
      </c>
      <c r="X85" s="19">
        <f t="shared" si="40"/>
        <v>1.2215479774185507E-2</v>
      </c>
      <c r="Y85" s="19">
        <f t="shared" si="41"/>
        <v>0.99656586872228392</v>
      </c>
      <c r="Z85" s="91">
        <f t="shared" si="42"/>
        <v>7.6658912978637191E-3</v>
      </c>
      <c r="AA85" s="19">
        <f t="shared" si="43"/>
        <v>1.2799656257516839E-2</v>
      </c>
      <c r="AB85" s="19">
        <f t="shared" si="44"/>
        <v>3.1062516500823902E-2</v>
      </c>
      <c r="AC85" s="19">
        <f t="shared" si="45"/>
        <v>1.388888888888889E-2</v>
      </c>
      <c r="AD85" s="19">
        <f t="shared" si="46"/>
        <v>1.3284014893676307E-2</v>
      </c>
      <c r="AE85" s="23">
        <f>('Modelo AHP'!$U$37*aux!P85)+('Modelo AHP'!$U$38*aux!R85)+('Modelo AHP'!$U$39*aux!S85)</f>
        <v>1.469236468705775E-2</v>
      </c>
      <c r="AF85" s="24">
        <f>aux!U85</f>
        <v>7.6621910484169168E-3</v>
      </c>
      <c r="AG85" s="23">
        <f>('Modelo AHP'!$U$47*aux!V85)+('Modelo AHP'!$U$48*aux!W85)+('Modelo AHP'!$U$49*aux!X85)</f>
        <v>1.1663156335493932E-2</v>
      </c>
      <c r="AH85" s="24">
        <f t="shared" si="47"/>
        <v>7.6658912978637191E-3</v>
      </c>
      <c r="AI85" s="23">
        <f>('Modelo AHP'!$U$56*aux!AA85)+('Modelo AHP'!$U$57*aux!AB85)+('Modelo AHP'!$U$58*aux!AC85)+('Modelo AHP'!$U$59*aux!AD85)</f>
        <v>2.2113508383979255E-2</v>
      </c>
      <c r="AJ85" s="25">
        <f>('Modelo AHP'!$U$23*aux!AE85)+('Modelo AHP'!$U$24*aux!AF85)+('Modelo AHP'!$U$25*aux!AG85)+('Modelo AHP'!$U$26*aux!AH85)+('Modelo AHP'!$U$27*aux!AI85)</f>
        <v>1.1555845772372959E-2</v>
      </c>
    </row>
    <row r="86" spans="1:36">
      <c r="A86" s="248">
        <v>8</v>
      </c>
      <c r="B86" s="14" t="s">
        <v>99</v>
      </c>
      <c r="C86" s="15" t="s">
        <v>102</v>
      </c>
      <c r="D86" s="239">
        <v>10.95</v>
      </c>
      <c r="E86" s="240">
        <v>84.29</v>
      </c>
      <c r="F86" s="239">
        <v>53.565973836244105</v>
      </c>
      <c r="G86" s="241">
        <v>29095.183958838912</v>
      </c>
      <c r="H86" s="240">
        <v>9.5399999999999991</v>
      </c>
      <c r="I86" s="240">
        <v>10.370000000000001</v>
      </c>
      <c r="J86" s="239">
        <v>6.6941894140119542</v>
      </c>
      <c r="K86" s="116">
        <v>44129.73</v>
      </c>
      <c r="L86" s="112">
        <v>6.2042490283507001E-2</v>
      </c>
      <c r="M86" s="242">
        <v>3412</v>
      </c>
      <c r="N86" s="112">
        <v>7.1999999999999995E-2</v>
      </c>
      <c r="O86" s="112">
        <v>8.2000000000000003E-2</v>
      </c>
      <c r="P86" s="19">
        <f t="shared" si="32"/>
        <v>9.2132940681531276E-3</v>
      </c>
      <c r="Q86" s="19">
        <f t="shared" si="33"/>
        <v>0.99241657467411248</v>
      </c>
      <c r="R86" s="19">
        <f t="shared" si="34"/>
        <v>7.6339736513393319E-3</v>
      </c>
      <c r="S86" s="19">
        <f t="shared" si="35"/>
        <v>1.1272933264470413E-2</v>
      </c>
      <c r="T86" s="19">
        <f t="shared" si="36"/>
        <v>0.99466150805544296</v>
      </c>
      <c r="U86" s="91">
        <f t="shared" si="37"/>
        <v>7.6512423696572553E-3</v>
      </c>
      <c r="V86" s="19">
        <f t="shared" si="38"/>
        <v>1.0088619107040876E-2</v>
      </c>
      <c r="W86" s="19">
        <f t="shared" si="39"/>
        <v>8.8193396126124216E-3</v>
      </c>
      <c r="X86" s="19">
        <f t="shared" si="40"/>
        <v>1.2215479774185507E-2</v>
      </c>
      <c r="Y86" s="19">
        <f t="shared" si="41"/>
        <v>0.996651632376231</v>
      </c>
      <c r="Z86" s="91">
        <f t="shared" si="42"/>
        <v>7.6665510182786969E-3</v>
      </c>
      <c r="AA86" s="19">
        <f t="shared" si="43"/>
        <v>1.2799656257516839E-2</v>
      </c>
      <c r="AB86" s="19">
        <f t="shared" si="44"/>
        <v>3.1062516500823902E-2</v>
      </c>
      <c r="AC86" s="19">
        <f t="shared" si="45"/>
        <v>1.388888888888889E-2</v>
      </c>
      <c r="AD86" s="19">
        <f t="shared" si="46"/>
        <v>1.3284014893676307E-2</v>
      </c>
      <c r="AE86" s="23">
        <f>('Modelo AHP'!$U$37*aux!P86)+('Modelo AHP'!$U$38*aux!R86)+('Modelo AHP'!$U$39*aux!S86)</f>
        <v>1.029114554426212E-2</v>
      </c>
      <c r="AF86" s="24">
        <f>aux!U86</f>
        <v>7.6512423696572553E-3</v>
      </c>
      <c r="AG86" s="23">
        <f>('Modelo AHP'!$U$47*aux!V86)+('Modelo AHP'!$U$48*aux!W86)+('Modelo AHP'!$U$49*aux!X86)</f>
        <v>1.0349667793432167E-2</v>
      </c>
      <c r="AH86" s="24">
        <f t="shared" si="47"/>
        <v>7.6665510182786969E-3</v>
      </c>
      <c r="AI86" s="23">
        <f>('Modelo AHP'!$U$56*aux!AA86)+('Modelo AHP'!$U$57*aux!AB86)+('Modelo AHP'!$U$58*aux!AC86)+('Modelo AHP'!$U$59*aux!AD86)</f>
        <v>2.2113508383979255E-2</v>
      </c>
      <c r="AJ86" s="25">
        <f>('Modelo AHP'!$U$23*aux!AE86)+('Modelo AHP'!$U$24*aux!AF86)+('Modelo AHP'!$U$25*aux!AG86)+('Modelo AHP'!$U$26*aux!AH86)+('Modelo AHP'!$U$27*aux!AI86)</f>
        <v>1.0369013051865168E-2</v>
      </c>
    </row>
    <row r="87" spans="1:36">
      <c r="A87" s="248">
        <v>7</v>
      </c>
      <c r="B87" s="14" t="s">
        <v>99</v>
      </c>
      <c r="C87" s="15" t="s">
        <v>103</v>
      </c>
      <c r="D87" s="239">
        <v>8.5</v>
      </c>
      <c r="E87" s="240">
        <v>83.11</v>
      </c>
      <c r="F87" s="239">
        <v>61.142103972535558</v>
      </c>
      <c r="G87" s="241">
        <v>27256.87277488262</v>
      </c>
      <c r="H87" s="240">
        <v>9.94</v>
      </c>
      <c r="I87" s="240">
        <v>11.11</v>
      </c>
      <c r="J87" s="239">
        <v>6.6941894140119542</v>
      </c>
      <c r="K87" s="116">
        <v>42426.87</v>
      </c>
      <c r="L87" s="112">
        <v>6.2042490283507001E-2</v>
      </c>
      <c r="M87" s="242">
        <v>3412</v>
      </c>
      <c r="N87" s="112">
        <v>7.1999999999999995E-2</v>
      </c>
      <c r="O87" s="112">
        <v>8.2000000000000003E-2</v>
      </c>
      <c r="P87" s="19">
        <f t="shared" si="32"/>
        <v>7.1518721076987762E-3</v>
      </c>
      <c r="Q87" s="19">
        <f t="shared" si="33"/>
        <v>0.99252273723057882</v>
      </c>
      <c r="R87" s="19">
        <f t="shared" si="34"/>
        <v>7.6347902863890729E-3</v>
      </c>
      <c r="S87" s="19">
        <f t="shared" si="35"/>
        <v>1.2867326184320016E-2</v>
      </c>
      <c r="T87" s="19">
        <f t="shared" si="36"/>
        <v>0.99499880818941089</v>
      </c>
      <c r="U87" s="91">
        <f t="shared" si="37"/>
        <v>7.6538369860723928E-3</v>
      </c>
      <c r="V87" s="19">
        <f t="shared" si="38"/>
        <v>1.0511622004610725E-2</v>
      </c>
      <c r="W87" s="19">
        <f t="shared" si="39"/>
        <v>9.4486849658750229E-3</v>
      </c>
      <c r="X87" s="19">
        <f t="shared" si="40"/>
        <v>1.2215479774185507E-2</v>
      </c>
      <c r="Y87" s="19">
        <f t="shared" si="41"/>
        <v>0.9967808378187254</v>
      </c>
      <c r="Z87" s="91">
        <f t="shared" si="42"/>
        <v>7.6675449062978841E-3</v>
      </c>
      <c r="AA87" s="19">
        <f t="shared" si="43"/>
        <v>1.2799656257516839E-2</v>
      </c>
      <c r="AB87" s="19">
        <f t="shared" si="44"/>
        <v>3.1062516500823902E-2</v>
      </c>
      <c r="AC87" s="19">
        <f t="shared" si="45"/>
        <v>1.388888888888889E-2</v>
      </c>
      <c r="AD87" s="19">
        <f t="shared" si="46"/>
        <v>1.3284014893676307E-2</v>
      </c>
      <c r="AE87" s="23">
        <f>('Modelo AHP'!$U$37*aux!P87)+('Modelo AHP'!$U$38*aux!R87)+('Modelo AHP'!$U$39*aux!S87)</f>
        <v>1.0629436371540549E-2</v>
      </c>
      <c r="AF87" s="24">
        <f>aux!U87</f>
        <v>7.6538369860723928E-3</v>
      </c>
      <c r="AG87" s="23">
        <f>('Modelo AHP'!$U$47*aux!V87)+('Modelo AHP'!$U$48*aux!W87)+('Modelo AHP'!$U$49*aux!X87)</f>
        <v>1.0700309882988847E-2</v>
      </c>
      <c r="AH87" s="24">
        <f t="shared" si="47"/>
        <v>7.6675449062978841E-3</v>
      </c>
      <c r="AI87" s="23">
        <f>('Modelo AHP'!$U$56*aux!AA87)+('Modelo AHP'!$U$57*aux!AB87)+('Modelo AHP'!$U$58*aux!AC87)+('Modelo AHP'!$U$59*aux!AD87)</f>
        <v>2.2113508383979255E-2</v>
      </c>
      <c r="AJ87" s="25">
        <f>('Modelo AHP'!$U$23*aux!AE87)+('Modelo AHP'!$U$24*aux!AF87)+('Modelo AHP'!$U$25*aux!AG87)+('Modelo AHP'!$U$26*aux!AH87)+('Modelo AHP'!$U$27*aux!AI87)</f>
        <v>1.0546203884764294E-2</v>
      </c>
    </row>
    <row r="88" spans="1:36">
      <c r="A88" s="248">
        <v>4</v>
      </c>
      <c r="B88" s="14" t="s">
        <v>99</v>
      </c>
      <c r="C88" s="15" t="s">
        <v>104</v>
      </c>
      <c r="D88" s="239">
        <v>11.02</v>
      </c>
      <c r="E88" s="240">
        <v>83.44</v>
      </c>
      <c r="F88" s="239">
        <v>65.972159039213906</v>
      </c>
      <c r="G88" s="241">
        <v>24110.058894588292</v>
      </c>
      <c r="H88" s="240">
        <v>11.6</v>
      </c>
      <c r="I88" s="240">
        <v>13.244999999999999</v>
      </c>
      <c r="J88" s="239">
        <v>6.6941894140119542</v>
      </c>
      <c r="K88" s="116">
        <v>39910.129999999997</v>
      </c>
      <c r="L88" s="112">
        <v>6.2042490283507001E-2</v>
      </c>
      <c r="M88" s="242">
        <v>3412</v>
      </c>
      <c r="N88" s="112">
        <v>7.1999999999999995E-2</v>
      </c>
      <c r="O88" s="112">
        <v>8.2000000000000003E-2</v>
      </c>
      <c r="P88" s="19">
        <f t="shared" si="32"/>
        <v>9.2721918384518244E-3</v>
      </c>
      <c r="Q88" s="19">
        <f t="shared" si="33"/>
        <v>0.99249304770207547</v>
      </c>
      <c r="R88" s="19">
        <f t="shared" si="34"/>
        <v>7.6345619054005859E-3</v>
      </c>
      <c r="S88" s="19">
        <f t="shared" si="35"/>
        <v>1.3883808935046014E-2</v>
      </c>
      <c r="T88" s="19">
        <f t="shared" si="36"/>
        <v>0.99557619723684698</v>
      </c>
      <c r="U88" s="91">
        <f t="shared" si="37"/>
        <v>7.65827844028344E-3</v>
      </c>
      <c r="V88" s="19">
        <f t="shared" si="38"/>
        <v>1.2267084029525595E-2</v>
      </c>
      <c r="W88" s="19">
        <f t="shared" si="39"/>
        <v>1.1264431356706992E-2</v>
      </c>
      <c r="X88" s="19">
        <f t="shared" si="40"/>
        <v>1.2215479774185507E-2</v>
      </c>
      <c r="Y88" s="19">
        <f t="shared" si="41"/>
        <v>0.9969717968554892</v>
      </c>
      <c r="Z88" s="91">
        <f t="shared" si="42"/>
        <v>7.6690138219652985E-3</v>
      </c>
      <c r="AA88" s="19">
        <f t="shared" si="43"/>
        <v>1.2799656257516839E-2</v>
      </c>
      <c r="AB88" s="19">
        <f t="shared" si="44"/>
        <v>3.1062516500823902E-2</v>
      </c>
      <c r="AC88" s="19">
        <f t="shared" si="45"/>
        <v>1.388888888888889E-2</v>
      </c>
      <c r="AD88" s="19">
        <f t="shared" si="46"/>
        <v>1.3284014893676307E-2</v>
      </c>
      <c r="AE88" s="23">
        <f>('Modelo AHP'!$U$37*aux!P88)+('Modelo AHP'!$U$38*aux!R88)+('Modelo AHP'!$U$39*aux!S88)</f>
        <v>1.1875399103103215E-2</v>
      </c>
      <c r="AF88" s="24">
        <f>aux!U88</f>
        <v>7.65827844028344E-3</v>
      </c>
      <c r="AG88" s="23">
        <f>('Modelo AHP'!$U$47*aux!V88)+('Modelo AHP'!$U$48*aux!W88)+('Modelo AHP'!$U$49*aux!X88)</f>
        <v>1.1802488650396459E-2</v>
      </c>
      <c r="AH88" s="24">
        <f t="shared" si="47"/>
        <v>7.6690138219652985E-3</v>
      </c>
      <c r="AI88" s="23">
        <f>('Modelo AHP'!$U$56*aux!AA88)+('Modelo AHP'!$U$57*aux!AB88)+('Modelo AHP'!$U$58*aux!AC88)+('Modelo AHP'!$U$59*aux!AD88)</f>
        <v>2.2113508383979255E-2</v>
      </c>
      <c r="AJ88" s="25">
        <f>('Modelo AHP'!$U$23*aux!AE88)+('Modelo AHP'!$U$24*aux!AF88)+('Modelo AHP'!$U$25*aux!AG88)+('Modelo AHP'!$U$26*aux!AH88)+('Modelo AHP'!$U$27*aux!AI88)</f>
        <v>1.1132322433585397E-2</v>
      </c>
    </row>
    <row r="89" spans="1:36">
      <c r="A89" s="248">
        <v>5</v>
      </c>
      <c r="B89" s="14" t="s">
        <v>99</v>
      </c>
      <c r="C89" s="15" t="s">
        <v>105</v>
      </c>
      <c r="D89" s="239">
        <v>16.7</v>
      </c>
      <c r="E89" s="240">
        <v>83.75</v>
      </c>
      <c r="F89" s="239">
        <v>58.54269987465257</v>
      </c>
      <c r="G89" s="241">
        <v>25086.174819382722</v>
      </c>
      <c r="H89" s="240">
        <v>10.46</v>
      </c>
      <c r="I89" s="240">
        <v>12.515000000000001</v>
      </c>
      <c r="J89" s="239">
        <v>6.6941894140119542</v>
      </c>
      <c r="K89" s="116">
        <v>46387.27</v>
      </c>
      <c r="L89" s="112">
        <v>6.2042490283507001E-2</v>
      </c>
      <c r="M89" s="242">
        <v>3412</v>
      </c>
      <c r="N89" s="112">
        <v>7.1999999999999995E-2</v>
      </c>
      <c r="O89" s="112">
        <v>8.2000000000000003E-2</v>
      </c>
      <c r="P89" s="19">
        <f t="shared" si="32"/>
        <v>1.4051325199831712E-2</v>
      </c>
      <c r="Q89" s="19">
        <f t="shared" si="33"/>
        <v>0.99246515753893605</v>
      </c>
      <c r="R89" s="19">
        <f t="shared" si="34"/>
        <v>7.6343473656841285E-3</v>
      </c>
      <c r="S89" s="19">
        <f t="shared" si="35"/>
        <v>1.2320282850198856E-2</v>
      </c>
      <c r="T89" s="19">
        <f t="shared" si="36"/>
        <v>0.99539709587736291</v>
      </c>
      <c r="U89" s="91">
        <f t="shared" si="37"/>
        <v>7.6569007375181779E-3</v>
      </c>
      <c r="V89" s="19">
        <f t="shared" si="38"/>
        <v>1.1061525771451529E-2</v>
      </c>
      <c r="W89" s="19">
        <f t="shared" si="39"/>
        <v>1.0643590670380371E-2</v>
      </c>
      <c r="X89" s="19">
        <f t="shared" si="40"/>
        <v>1.2215479774185507E-2</v>
      </c>
      <c r="Y89" s="19">
        <f t="shared" si="41"/>
        <v>0.99648034028254806</v>
      </c>
      <c r="Z89" s="91">
        <f t="shared" si="42"/>
        <v>7.665233386788828E-3</v>
      </c>
      <c r="AA89" s="19">
        <f t="shared" si="43"/>
        <v>1.2799656257516839E-2</v>
      </c>
      <c r="AB89" s="19">
        <f t="shared" si="44"/>
        <v>3.1062516500823902E-2</v>
      </c>
      <c r="AC89" s="19">
        <f t="shared" si="45"/>
        <v>1.388888888888889E-2</v>
      </c>
      <c r="AD89" s="19">
        <f t="shared" si="46"/>
        <v>1.3284014893676307E-2</v>
      </c>
      <c r="AE89" s="23">
        <f>('Modelo AHP'!$U$37*aux!P89)+('Modelo AHP'!$U$38*aux!R89)+('Modelo AHP'!$U$39*aux!S89)</f>
        <v>1.2371002006637238E-2</v>
      </c>
      <c r="AF89" s="24">
        <f>aux!U89</f>
        <v>7.6569007375181779E-3</v>
      </c>
      <c r="AG89" s="23">
        <f>('Modelo AHP'!$U$47*aux!V89)+('Modelo AHP'!$U$48*aux!W89)+('Modelo AHP'!$U$49*aux!X89)</f>
        <v>1.1323209509224406E-2</v>
      </c>
      <c r="AH89" s="24">
        <f t="shared" si="47"/>
        <v>7.665233386788828E-3</v>
      </c>
      <c r="AI89" s="23">
        <f>('Modelo AHP'!$U$56*aux!AA89)+('Modelo AHP'!$U$57*aux!AB89)+('Modelo AHP'!$U$58*aux!AC89)+('Modelo AHP'!$U$59*aux!AD89)</f>
        <v>2.2113508383979255E-2</v>
      </c>
      <c r="AJ89" s="25">
        <f>('Modelo AHP'!$U$23*aux!AE89)+('Modelo AHP'!$U$24*aux!AF89)+('Modelo AHP'!$U$25*aux!AG89)+('Modelo AHP'!$U$26*aux!AH89)+('Modelo AHP'!$U$27*aux!AI89)</f>
        <v>1.1050520509458161E-2</v>
      </c>
    </row>
    <row r="90" spans="1:36">
      <c r="A90" s="248">
        <v>44</v>
      </c>
      <c r="B90" s="14" t="s">
        <v>106</v>
      </c>
      <c r="C90" s="15" t="s">
        <v>107</v>
      </c>
      <c r="D90" s="239">
        <v>5.51</v>
      </c>
      <c r="E90" s="240">
        <v>83.23</v>
      </c>
      <c r="F90" s="239">
        <v>45.930563460443942</v>
      </c>
      <c r="G90" s="241">
        <v>34086.299353141534</v>
      </c>
      <c r="H90" s="240">
        <v>9.7799999999999994</v>
      </c>
      <c r="I90" s="240">
        <v>11.015000000000001</v>
      </c>
      <c r="J90" s="239">
        <v>5.0234978180597514</v>
      </c>
      <c r="K90" s="116">
        <v>98860.91</v>
      </c>
      <c r="L90" s="112">
        <v>4.1506065646934716E-2</v>
      </c>
      <c r="M90" s="242">
        <v>526</v>
      </c>
      <c r="N90" s="112">
        <v>4.2999999999999997E-2</v>
      </c>
      <c r="O90" s="112">
        <v>5.3999999999999999E-2</v>
      </c>
      <c r="P90" s="19">
        <f t="shared" si="32"/>
        <v>4.6360959192259122E-3</v>
      </c>
      <c r="Q90" s="19">
        <f t="shared" si="33"/>
        <v>0.9925119410383958</v>
      </c>
      <c r="R90" s="19">
        <f t="shared" si="34"/>
        <v>7.6347072387568955E-3</v>
      </c>
      <c r="S90" s="19">
        <f t="shared" si="35"/>
        <v>9.66606484691164E-3</v>
      </c>
      <c r="T90" s="19">
        <f t="shared" si="36"/>
        <v>0.99374571974612913</v>
      </c>
      <c r="U90" s="91">
        <f t="shared" si="37"/>
        <v>7.6441978442009948E-3</v>
      </c>
      <c r="V90" s="19">
        <f t="shared" si="38"/>
        <v>1.0342420845582786E-2</v>
      </c>
      <c r="W90" s="19">
        <f t="shared" si="39"/>
        <v>9.367890629983203E-3</v>
      </c>
      <c r="X90" s="19">
        <f t="shared" si="40"/>
        <v>9.1668209841401921E-3</v>
      </c>
      <c r="Y90" s="19">
        <f t="shared" si="41"/>
        <v>0.99249887388161351</v>
      </c>
      <c r="Z90" s="91">
        <f t="shared" si="42"/>
        <v>7.6346067221662543E-3</v>
      </c>
      <c r="AA90" s="19">
        <f t="shared" si="43"/>
        <v>8.5628956938229236E-3</v>
      </c>
      <c r="AB90" s="19">
        <f t="shared" si="44"/>
        <v>4.7886528954962995E-3</v>
      </c>
      <c r="AC90" s="19">
        <f t="shared" si="45"/>
        <v>8.2947530864197535E-3</v>
      </c>
      <c r="AD90" s="19">
        <f t="shared" si="46"/>
        <v>8.7480098080307388E-3</v>
      </c>
      <c r="AE90" s="23">
        <f>('Modelo AHP'!$U$37*aux!P90)+('Modelo AHP'!$U$38*aux!R90)+('Modelo AHP'!$U$39*aux!S90)</f>
        <v>7.9539384077904479E-3</v>
      </c>
      <c r="AF90" s="24">
        <f>aux!U90</f>
        <v>7.6441978442009948E-3</v>
      </c>
      <c r="AG90" s="23">
        <f>('Modelo AHP'!$U$47*aux!V90)+('Modelo AHP'!$U$48*aux!W90)+('Modelo AHP'!$U$49*aux!X90)</f>
        <v>9.4548924677333966E-3</v>
      </c>
      <c r="AH90" s="24">
        <f t="shared" si="47"/>
        <v>7.6346067221662543E-3</v>
      </c>
      <c r="AI90" s="23">
        <f>('Modelo AHP'!$U$56*aux!AA90)+('Modelo AHP'!$U$57*aux!AB90)+('Modelo AHP'!$U$58*aux!AC90)+('Modelo AHP'!$U$59*aux!AD90)</f>
        <v>6.6644198812041569E-3</v>
      </c>
      <c r="AJ90" s="25">
        <f>('Modelo AHP'!$U$23*aux!AE90)+('Modelo AHP'!$U$24*aux!AF90)+('Modelo AHP'!$U$25*aux!AG90)+('Modelo AHP'!$U$26*aux!AH90)+('Modelo AHP'!$U$27*aux!AI90)</f>
        <v>8.222203467328975E-3</v>
      </c>
    </row>
    <row r="91" spans="1:36">
      <c r="A91" s="248">
        <v>70</v>
      </c>
      <c r="B91" s="14" t="s">
        <v>106</v>
      </c>
      <c r="C91" s="15" t="s">
        <v>108</v>
      </c>
      <c r="D91" s="239">
        <v>2.38</v>
      </c>
      <c r="E91" s="240">
        <v>83.59</v>
      </c>
      <c r="F91" s="239">
        <v>28.527607361963192</v>
      </c>
      <c r="G91" s="241">
        <v>45263.193291016774</v>
      </c>
      <c r="H91" s="240">
        <v>7.83</v>
      </c>
      <c r="I91" s="240">
        <v>8.0500000000000007</v>
      </c>
      <c r="J91" s="239">
        <v>5.0234978180597514</v>
      </c>
      <c r="K91" s="116">
        <v>97105.73</v>
      </c>
      <c r="L91" s="112">
        <v>4.1506065646934716E-2</v>
      </c>
      <c r="M91" s="242">
        <v>526</v>
      </c>
      <c r="N91" s="112">
        <v>4.2999999999999997E-2</v>
      </c>
      <c r="O91" s="112">
        <v>5.3999999999999999E-2</v>
      </c>
      <c r="P91" s="19">
        <f t="shared" si="32"/>
        <v>2.0025241901556572E-3</v>
      </c>
      <c r="Q91" s="19">
        <f t="shared" si="33"/>
        <v>0.99247955246184671</v>
      </c>
      <c r="R91" s="19">
        <f t="shared" si="34"/>
        <v>7.6344580958603641E-3</v>
      </c>
      <c r="S91" s="19">
        <f t="shared" si="35"/>
        <v>6.0036211601333768E-3</v>
      </c>
      <c r="T91" s="19">
        <f t="shared" si="36"/>
        <v>0.99169494191509944</v>
      </c>
      <c r="U91" s="91">
        <f t="shared" si="37"/>
        <v>7.6284226301161513E-3</v>
      </c>
      <c r="V91" s="19">
        <f t="shared" si="38"/>
        <v>8.280281719929776E-3</v>
      </c>
      <c r="W91" s="19">
        <f t="shared" si="39"/>
        <v>6.8462568834648015E-3</v>
      </c>
      <c r="X91" s="19">
        <f t="shared" si="40"/>
        <v>9.1668209841401921E-3</v>
      </c>
      <c r="Y91" s="19">
        <f t="shared" si="41"/>
        <v>0.99263204913298908</v>
      </c>
      <c r="Z91" s="91">
        <f t="shared" si="42"/>
        <v>7.6356311471768353E-3</v>
      </c>
      <c r="AA91" s="19">
        <f t="shared" si="43"/>
        <v>8.5628956938229236E-3</v>
      </c>
      <c r="AB91" s="19">
        <f t="shared" si="44"/>
        <v>4.7886528954962995E-3</v>
      </c>
      <c r="AC91" s="19">
        <f t="shared" si="45"/>
        <v>8.2947530864197535E-3</v>
      </c>
      <c r="AD91" s="19">
        <f t="shared" si="46"/>
        <v>8.7480098080307388E-3</v>
      </c>
      <c r="AE91" s="23">
        <f>('Modelo AHP'!$U$37*aux!P91)+('Modelo AHP'!$U$38*aux!R91)+('Modelo AHP'!$U$39*aux!S91)</f>
        <v>4.9663757627127596E-3</v>
      </c>
      <c r="AF91" s="24">
        <f>aux!U91</f>
        <v>7.6284226301161513E-3</v>
      </c>
      <c r="AG91" s="23">
        <f>('Modelo AHP'!$U$47*aux!V91)+('Modelo AHP'!$U$48*aux!W91)+('Modelo AHP'!$U$49*aux!X91)</f>
        <v>7.9878129686256679E-3</v>
      </c>
      <c r="AH91" s="24">
        <f t="shared" si="47"/>
        <v>7.6356311471768353E-3</v>
      </c>
      <c r="AI91" s="23">
        <f>('Modelo AHP'!$U$56*aux!AA91)+('Modelo AHP'!$U$57*aux!AB91)+('Modelo AHP'!$U$58*aux!AC91)+('Modelo AHP'!$U$59*aux!AD91)</f>
        <v>6.6644198812041569E-3</v>
      </c>
      <c r="AJ91" s="25">
        <f>('Modelo AHP'!$U$23*aux!AE91)+('Modelo AHP'!$U$24*aux!AF91)+('Modelo AHP'!$U$25*aux!AG91)+('Modelo AHP'!$U$26*aux!AH91)+('Modelo AHP'!$U$27*aux!AI91)</f>
        <v>7.217273033949448E-3</v>
      </c>
    </row>
    <row r="92" spans="1:36">
      <c r="A92" s="248">
        <v>59</v>
      </c>
      <c r="B92" s="14" t="s">
        <v>106</v>
      </c>
      <c r="C92" s="15" t="s">
        <v>109</v>
      </c>
      <c r="D92" s="239">
        <v>4.08</v>
      </c>
      <c r="E92" s="240">
        <v>84.82</v>
      </c>
      <c r="F92" s="239">
        <v>37.236739020231347</v>
      </c>
      <c r="G92" s="241">
        <v>40061.387455529875</v>
      </c>
      <c r="H92" s="240">
        <v>7.54</v>
      </c>
      <c r="I92" s="240">
        <v>8.61</v>
      </c>
      <c r="J92" s="239">
        <v>5.0234978180597514</v>
      </c>
      <c r="K92" s="116">
        <v>82594.48</v>
      </c>
      <c r="L92" s="112">
        <v>4.1506065646934716E-2</v>
      </c>
      <c r="M92" s="242">
        <v>526</v>
      </c>
      <c r="N92" s="112">
        <v>4.2999999999999997E-2</v>
      </c>
      <c r="O92" s="112">
        <v>5.3999999999999999E-2</v>
      </c>
      <c r="P92" s="19">
        <f t="shared" si="32"/>
        <v>3.4328986116954124E-3</v>
      </c>
      <c r="Q92" s="19">
        <f t="shared" si="33"/>
        <v>0.99236889149197083</v>
      </c>
      <c r="R92" s="19">
        <f t="shared" si="34"/>
        <v>7.6336068576305502E-3</v>
      </c>
      <c r="S92" s="19">
        <f t="shared" si="35"/>
        <v>7.8364537018375674E-3</v>
      </c>
      <c r="T92" s="19">
        <f t="shared" si="36"/>
        <v>0.99264938848567907</v>
      </c>
      <c r="U92" s="91">
        <f t="shared" si="37"/>
        <v>7.6357645268129177E-3</v>
      </c>
      <c r="V92" s="19">
        <f t="shared" si="38"/>
        <v>7.9736046191916359E-3</v>
      </c>
      <c r="W92" s="19">
        <f t="shared" si="39"/>
        <v>7.3225182318797429E-3</v>
      </c>
      <c r="X92" s="19">
        <f t="shared" si="40"/>
        <v>9.1668209841401921E-3</v>
      </c>
      <c r="Y92" s="19">
        <f t="shared" si="41"/>
        <v>0.99373309823708333</v>
      </c>
      <c r="Z92" s="91">
        <f t="shared" si="42"/>
        <v>7.6441007556698687E-3</v>
      </c>
      <c r="AA92" s="19">
        <f t="shared" si="43"/>
        <v>8.5628956938229236E-3</v>
      </c>
      <c r="AB92" s="19">
        <f t="shared" si="44"/>
        <v>4.7886528954962995E-3</v>
      </c>
      <c r="AC92" s="19">
        <f t="shared" si="45"/>
        <v>8.2947530864197535E-3</v>
      </c>
      <c r="AD92" s="19">
        <f t="shared" si="46"/>
        <v>8.7480098080307388E-3</v>
      </c>
      <c r="AE92" s="23">
        <f>('Modelo AHP'!$U$37*aux!P92)+('Modelo AHP'!$U$38*aux!R92)+('Modelo AHP'!$U$39*aux!S92)</f>
        <v>6.4951024903742187E-3</v>
      </c>
      <c r="AF92" s="24">
        <f>aux!U92</f>
        <v>7.6357645268129177E-3</v>
      </c>
      <c r="AG92" s="23">
        <f>('Modelo AHP'!$U$47*aux!V92)+('Modelo AHP'!$U$48*aux!W92)+('Modelo AHP'!$U$49*aux!X92)</f>
        <v>8.1471113896083962E-3</v>
      </c>
      <c r="AH92" s="24">
        <f t="shared" si="47"/>
        <v>7.6441007556698687E-3</v>
      </c>
      <c r="AI92" s="23">
        <f>('Modelo AHP'!$U$56*aux!AA92)+('Modelo AHP'!$U$57*aux!AB92)+('Modelo AHP'!$U$58*aux!AC92)+('Modelo AHP'!$U$59*aux!AD92)</f>
        <v>6.6644198812041569E-3</v>
      </c>
      <c r="AJ92" s="25">
        <f>('Modelo AHP'!$U$23*aux!AE92)+('Modelo AHP'!$U$24*aux!AF92)+('Modelo AHP'!$U$25*aux!AG92)+('Modelo AHP'!$U$26*aux!AH92)+('Modelo AHP'!$U$27*aux!AI92)</f>
        <v>7.5298360227038222E-3</v>
      </c>
    </row>
    <row r="93" spans="1:36">
      <c r="A93" s="248">
        <v>53</v>
      </c>
      <c r="B93" s="14" t="s">
        <v>106</v>
      </c>
      <c r="C93" s="15" t="s">
        <v>110</v>
      </c>
      <c r="D93" s="239">
        <v>6.49</v>
      </c>
      <c r="E93" s="240">
        <v>86.24</v>
      </c>
      <c r="F93" s="239">
        <v>43.284313725490193</v>
      </c>
      <c r="G93" s="241">
        <v>35922.080593747705</v>
      </c>
      <c r="H93" s="240">
        <v>8.75</v>
      </c>
      <c r="I93" s="240">
        <v>9.6449999999999996</v>
      </c>
      <c r="J93" s="239">
        <v>5.0234978180597514</v>
      </c>
      <c r="K93" s="116">
        <v>85791.77</v>
      </c>
      <c r="L93" s="112">
        <v>4.1506065646934716E-2</v>
      </c>
      <c r="M93" s="242">
        <v>526</v>
      </c>
      <c r="N93" s="112">
        <v>4.2999999999999997E-2</v>
      </c>
      <c r="O93" s="112">
        <v>5.3999999999999999E-2</v>
      </c>
      <c r="P93" s="19">
        <f t="shared" si="32"/>
        <v>5.4606647034076538E-3</v>
      </c>
      <c r="Q93" s="19">
        <f t="shared" si="33"/>
        <v>0.99224113655113844</v>
      </c>
      <c r="R93" s="19">
        <f t="shared" si="34"/>
        <v>7.6326241273164544E-3</v>
      </c>
      <c r="S93" s="19">
        <f t="shared" si="35"/>
        <v>9.1091628711452311E-3</v>
      </c>
      <c r="T93" s="19">
        <f t="shared" si="36"/>
        <v>0.9934088838155225</v>
      </c>
      <c r="U93" s="91">
        <f t="shared" si="37"/>
        <v>7.641606798580944E-3</v>
      </c>
      <c r="V93" s="19">
        <f t="shared" si="38"/>
        <v>9.2531883843404265E-3</v>
      </c>
      <c r="W93" s="19">
        <f t="shared" si="39"/>
        <v>8.2027512597537891E-3</v>
      </c>
      <c r="X93" s="19">
        <f t="shared" si="40"/>
        <v>9.1668209841401921E-3</v>
      </c>
      <c r="Y93" s="19">
        <f t="shared" si="41"/>
        <v>0.99349050209339962</v>
      </c>
      <c r="Z93" s="91">
        <f t="shared" si="42"/>
        <v>7.6422346314876863E-3</v>
      </c>
      <c r="AA93" s="19">
        <f t="shared" si="43"/>
        <v>8.5628956938229236E-3</v>
      </c>
      <c r="AB93" s="19">
        <f t="shared" si="44"/>
        <v>4.7886528954962995E-3</v>
      </c>
      <c r="AC93" s="19">
        <f t="shared" si="45"/>
        <v>8.2947530864197535E-3</v>
      </c>
      <c r="AD93" s="19">
        <f t="shared" si="46"/>
        <v>8.7480098080307388E-3</v>
      </c>
      <c r="AE93" s="23">
        <f>('Modelo AHP'!$U$37*aux!P93)+('Modelo AHP'!$U$38*aux!R93)+('Modelo AHP'!$U$39*aux!S93)</f>
        <v>7.8669595464410796E-3</v>
      </c>
      <c r="AF93" s="24">
        <f>aux!U93</f>
        <v>7.641606798580944E-3</v>
      </c>
      <c r="AG93" s="23">
        <f>('Modelo AHP'!$U$47*aux!V93)+('Modelo AHP'!$U$48*aux!W93)+('Modelo AHP'!$U$49*aux!X93)</f>
        <v>8.753937753500236E-3</v>
      </c>
      <c r="AH93" s="24">
        <f t="shared" si="47"/>
        <v>7.6422346314876863E-3</v>
      </c>
      <c r="AI93" s="23">
        <f>('Modelo AHP'!$U$56*aux!AA93)+('Modelo AHP'!$U$57*aux!AB93)+('Modelo AHP'!$U$58*aux!AC93)+('Modelo AHP'!$U$59*aux!AD93)</f>
        <v>6.6644198812041569E-3</v>
      </c>
      <c r="AJ93" s="25">
        <f>('Modelo AHP'!$U$23*aux!AE93)+('Modelo AHP'!$U$24*aux!AF93)+('Modelo AHP'!$U$25*aux!AG93)+('Modelo AHP'!$U$26*aux!AH93)+('Modelo AHP'!$U$27*aux!AI93)</f>
        <v>7.9678910787516141E-3</v>
      </c>
    </row>
    <row r="94" spans="1:36">
      <c r="A94" s="248">
        <v>34</v>
      </c>
      <c r="B94" s="14" t="s">
        <v>106</v>
      </c>
      <c r="C94" s="15" t="s">
        <v>111</v>
      </c>
      <c r="D94" s="239">
        <v>9.85</v>
      </c>
      <c r="E94" s="240">
        <v>83.91</v>
      </c>
      <c r="F94" s="239">
        <v>51.785189538642378</v>
      </c>
      <c r="G94" s="241">
        <v>28449.326811473707</v>
      </c>
      <c r="H94" s="240">
        <v>9.43</v>
      </c>
      <c r="I94" s="240">
        <v>11.895</v>
      </c>
      <c r="J94" s="239">
        <v>5.0234978180597514</v>
      </c>
      <c r="K94" s="116">
        <v>72051.61</v>
      </c>
      <c r="L94" s="112">
        <v>4.1506065646934716E-2</v>
      </c>
      <c r="M94" s="242">
        <v>526</v>
      </c>
      <c r="N94" s="112">
        <v>4.2999999999999997E-2</v>
      </c>
      <c r="O94" s="112">
        <v>5.3999999999999999E-2</v>
      </c>
      <c r="P94" s="19">
        <f t="shared" si="32"/>
        <v>8.2877576777450526E-3</v>
      </c>
      <c r="Q94" s="19">
        <f t="shared" si="33"/>
        <v>0.99245076261602527</v>
      </c>
      <c r="R94" s="19">
        <f t="shared" si="34"/>
        <v>7.6342366355078919E-3</v>
      </c>
      <c r="S94" s="19">
        <f t="shared" si="35"/>
        <v>1.0898168071053952E-2</v>
      </c>
      <c r="T94" s="19">
        <f t="shared" si="36"/>
        <v>0.99478001231317237</v>
      </c>
      <c r="U94" s="91">
        <f t="shared" si="37"/>
        <v>7.6521539408705586E-3</v>
      </c>
      <c r="V94" s="19">
        <f t="shared" si="38"/>
        <v>9.9722933102091692E-3</v>
      </c>
      <c r="W94" s="19">
        <f t="shared" si="39"/>
        <v>1.0116301320349541E-2</v>
      </c>
      <c r="X94" s="19">
        <f t="shared" si="40"/>
        <v>9.1668209841401921E-3</v>
      </c>
      <c r="Y94" s="19">
        <f t="shared" si="41"/>
        <v>0.99453304431809497</v>
      </c>
      <c r="Z94" s="91">
        <f t="shared" si="42"/>
        <v>7.6502541870622654E-3</v>
      </c>
      <c r="AA94" s="19">
        <f t="shared" si="43"/>
        <v>8.5628956938229236E-3</v>
      </c>
      <c r="AB94" s="19">
        <f t="shared" si="44"/>
        <v>4.7886528954962995E-3</v>
      </c>
      <c r="AC94" s="19">
        <f t="shared" si="45"/>
        <v>8.2947530864197535E-3</v>
      </c>
      <c r="AD94" s="19">
        <f t="shared" si="46"/>
        <v>8.7480098080307388E-3</v>
      </c>
      <c r="AE94" s="23">
        <f>('Modelo AHP'!$U$37*aux!P94)+('Modelo AHP'!$U$38*aux!R94)+('Modelo AHP'!$U$39*aux!S94)</f>
        <v>9.7886518095066759E-3</v>
      </c>
      <c r="AF94" s="24">
        <f>aux!U94</f>
        <v>7.6521539408705586E-3</v>
      </c>
      <c r="AG94" s="23">
        <f>('Modelo AHP'!$U$47*aux!V94)+('Modelo AHP'!$U$48*aux!W94)+('Modelo AHP'!$U$49*aux!X94)</f>
        <v>9.7241340247835595E-3</v>
      </c>
      <c r="AH94" s="24">
        <f t="shared" si="47"/>
        <v>7.6502541870622654E-3</v>
      </c>
      <c r="AI94" s="23">
        <f>('Modelo AHP'!$U$56*aux!AA94)+('Modelo AHP'!$U$57*aux!AB94)+('Modelo AHP'!$U$58*aux!AC94)+('Modelo AHP'!$U$59*aux!AD94)</f>
        <v>6.6644198812041569E-3</v>
      </c>
      <c r="AJ94" s="25">
        <f>('Modelo AHP'!$U$23*aux!AE94)+('Modelo AHP'!$U$24*aux!AF94)+('Modelo AHP'!$U$25*aux!AG94)+('Modelo AHP'!$U$26*aux!AH94)+('Modelo AHP'!$U$27*aux!AI94)</f>
        <v>8.624139003985341E-3</v>
      </c>
    </row>
    <row r="95" spans="1:36">
      <c r="A95" s="248">
        <v>52</v>
      </c>
      <c r="B95" s="14" t="s">
        <v>106</v>
      </c>
      <c r="C95" s="15" t="s">
        <v>112</v>
      </c>
      <c r="D95" s="239">
        <v>7.57</v>
      </c>
      <c r="E95" s="240">
        <v>84.22</v>
      </c>
      <c r="F95" s="239">
        <v>46.749654218533884</v>
      </c>
      <c r="G95" s="241">
        <v>29493.004862023456</v>
      </c>
      <c r="H95" s="240">
        <v>7.88</v>
      </c>
      <c r="I95" s="240">
        <v>9.1150000000000002</v>
      </c>
      <c r="J95" s="239">
        <v>5.0234978180597514</v>
      </c>
      <c r="K95" s="116">
        <v>74635.100000000006</v>
      </c>
      <c r="L95" s="112">
        <v>4.1506065646934716E-2</v>
      </c>
      <c r="M95" s="242">
        <v>526</v>
      </c>
      <c r="N95" s="112">
        <v>4.2999999999999997E-2</v>
      </c>
      <c r="O95" s="112">
        <v>5.3999999999999999E-2</v>
      </c>
      <c r="P95" s="19">
        <f t="shared" si="32"/>
        <v>6.3693731594446747E-3</v>
      </c>
      <c r="Q95" s="19">
        <f t="shared" si="33"/>
        <v>0.99242287245288585</v>
      </c>
      <c r="R95" s="19">
        <f t="shared" si="34"/>
        <v>7.6340220957914345E-3</v>
      </c>
      <c r="S95" s="19">
        <f t="shared" si="35"/>
        <v>9.8384421004592045E-3</v>
      </c>
      <c r="T95" s="19">
        <f t="shared" si="36"/>
        <v>0.99458851440501506</v>
      </c>
      <c r="U95" s="91">
        <f t="shared" si="37"/>
        <v>7.6506808800385793E-3</v>
      </c>
      <c r="V95" s="19">
        <f t="shared" si="38"/>
        <v>8.3331570821260081E-3</v>
      </c>
      <c r="W95" s="19">
        <f t="shared" si="39"/>
        <v>7.7520039121467908E-3</v>
      </c>
      <c r="X95" s="19">
        <f t="shared" si="40"/>
        <v>9.1668209841401921E-3</v>
      </c>
      <c r="Y95" s="19">
        <f t="shared" si="41"/>
        <v>0.9943370205882347</v>
      </c>
      <c r="Z95" s="91">
        <f t="shared" si="42"/>
        <v>7.6487463122171867E-3</v>
      </c>
      <c r="AA95" s="19">
        <f t="shared" si="43"/>
        <v>8.5628956938229236E-3</v>
      </c>
      <c r="AB95" s="19">
        <f t="shared" si="44"/>
        <v>4.7886528954962995E-3</v>
      </c>
      <c r="AC95" s="19">
        <f t="shared" si="45"/>
        <v>8.2947530864197535E-3</v>
      </c>
      <c r="AD95" s="19">
        <f t="shared" si="46"/>
        <v>8.7480098080307388E-3</v>
      </c>
      <c r="AE95" s="23">
        <f>('Modelo AHP'!$U$37*aux!P95)+('Modelo AHP'!$U$38*aux!R95)+('Modelo AHP'!$U$39*aux!S95)</f>
        <v>8.5772794176880683E-3</v>
      </c>
      <c r="AF95" s="24">
        <f>aux!U95</f>
        <v>7.6506808800385793E-3</v>
      </c>
      <c r="AG95" s="23">
        <f>('Modelo AHP'!$U$47*aux!V95)+('Modelo AHP'!$U$48*aux!W95)+('Modelo AHP'!$U$49*aux!X95)</f>
        <v>8.3983940758519549E-3</v>
      </c>
      <c r="AH95" s="24">
        <f t="shared" si="47"/>
        <v>7.6487463122171867E-3</v>
      </c>
      <c r="AI95" s="23">
        <f>('Modelo AHP'!$U$56*aux!AA95)+('Modelo AHP'!$U$57*aux!AB95)+('Modelo AHP'!$U$58*aux!AC95)+('Modelo AHP'!$U$59*aux!AD95)</f>
        <v>6.6644198812041569E-3</v>
      </c>
      <c r="AJ95" s="25">
        <f>('Modelo AHP'!$U$23*aux!AE95)+('Modelo AHP'!$U$24*aux!AF95)+('Modelo AHP'!$U$25*aux!AG95)+('Modelo AHP'!$U$26*aux!AH95)+('Modelo AHP'!$U$27*aux!AI95)</f>
        <v>7.9683511884870353E-3</v>
      </c>
    </row>
    <row r="96" spans="1:36">
      <c r="A96" s="248">
        <v>47</v>
      </c>
      <c r="B96" s="14" t="s">
        <v>113</v>
      </c>
      <c r="C96" s="15" t="s">
        <v>114</v>
      </c>
      <c r="D96" s="239">
        <v>12.35</v>
      </c>
      <c r="E96" s="240">
        <v>85.38</v>
      </c>
      <c r="F96" s="239">
        <v>48.26505774509296</v>
      </c>
      <c r="G96" s="241">
        <v>26743.711279244311</v>
      </c>
      <c r="H96" s="240">
        <v>8.33</v>
      </c>
      <c r="I96" s="240">
        <v>10.855</v>
      </c>
      <c r="J96" s="239">
        <v>3.9481884365881985</v>
      </c>
      <c r="K96" s="116">
        <v>69396.02</v>
      </c>
      <c r="L96" s="112">
        <v>3.5803244162734657E-2</v>
      </c>
      <c r="M96" s="242">
        <v>615</v>
      </c>
      <c r="N96" s="112">
        <v>3.5000000000000003E-2</v>
      </c>
      <c r="O96" s="112">
        <v>4.5999999999999999E-2</v>
      </c>
      <c r="P96" s="19">
        <f t="shared" si="32"/>
        <v>1.0391249474127045E-2</v>
      </c>
      <c r="Q96" s="19">
        <f t="shared" si="33"/>
        <v>0.99231850926178333</v>
      </c>
      <c r="R96" s="19">
        <f t="shared" si="34"/>
        <v>7.6332193020137232E-3</v>
      </c>
      <c r="S96" s="19">
        <f t="shared" si="35"/>
        <v>1.0157358039071054E-2</v>
      </c>
      <c r="T96" s="19">
        <f t="shared" si="36"/>
        <v>0.99509296495826305</v>
      </c>
      <c r="U96" s="91">
        <f t="shared" si="37"/>
        <v>7.6545612689097172E-3</v>
      </c>
      <c r="V96" s="19">
        <f t="shared" si="38"/>
        <v>8.8090353418920873E-3</v>
      </c>
      <c r="W96" s="19">
        <f t="shared" si="39"/>
        <v>9.2318159590075062E-3</v>
      </c>
      <c r="X96" s="19">
        <f t="shared" si="40"/>
        <v>7.2046088045948616E-3</v>
      </c>
      <c r="Y96" s="19">
        <f t="shared" si="41"/>
        <v>0.9947345386752553</v>
      </c>
      <c r="Z96" s="91">
        <f t="shared" si="42"/>
        <v>7.6518041436558068E-3</v>
      </c>
      <c r="AA96" s="19">
        <f t="shared" si="43"/>
        <v>7.3863769183483826E-3</v>
      </c>
      <c r="AB96" s="19">
        <f t="shared" si="44"/>
        <v>5.5989002485365476E-3</v>
      </c>
      <c r="AC96" s="19">
        <f t="shared" si="45"/>
        <v>6.7515432098765446E-3</v>
      </c>
      <c r="AD96" s="19">
        <f t="shared" si="46"/>
        <v>7.4520083549891479E-3</v>
      </c>
      <c r="AE96" s="23">
        <f>('Modelo AHP'!$U$37*aux!P96)+('Modelo AHP'!$U$38*aux!R96)+('Modelo AHP'!$U$39*aux!S96)</f>
        <v>9.975111595882118E-3</v>
      </c>
      <c r="AF96" s="24">
        <f>aux!U96</f>
        <v>7.6545612689097172E-3</v>
      </c>
      <c r="AG96" s="23">
        <f>('Modelo AHP'!$U$47*aux!V96)+('Modelo AHP'!$U$48*aux!W96)+('Modelo AHP'!$U$49*aux!X96)</f>
        <v>8.3750002455772535E-3</v>
      </c>
      <c r="AH96" s="24">
        <f t="shared" si="47"/>
        <v>7.6518041436558068E-3</v>
      </c>
      <c r="AI96" s="23">
        <f>('Modelo AHP'!$U$56*aux!AA96)+('Modelo AHP'!$U$57*aux!AB96)+('Modelo AHP'!$U$58*aux!AC96)+('Modelo AHP'!$U$59*aux!AD96)</f>
        <v>6.3745039062373214E-3</v>
      </c>
      <c r="AJ96" s="25">
        <f>('Modelo AHP'!$U$23*aux!AE96)+('Modelo AHP'!$U$24*aux!AF96)+('Modelo AHP'!$U$25*aux!AG96)+('Modelo AHP'!$U$26*aux!AH96)+('Modelo AHP'!$U$27*aux!AI96)</f>
        <v>8.1679741933115783E-3</v>
      </c>
    </row>
    <row r="97" spans="1:36">
      <c r="A97" s="248">
        <v>49</v>
      </c>
      <c r="B97" s="14" t="s">
        <v>113</v>
      </c>
      <c r="C97" s="15" t="s">
        <v>115</v>
      </c>
      <c r="D97" s="239">
        <v>13.37</v>
      </c>
      <c r="E97" s="240">
        <v>85.74</v>
      </c>
      <c r="F97" s="239">
        <v>49.435909990411488</v>
      </c>
      <c r="G97" s="241">
        <v>30457.924157083533</v>
      </c>
      <c r="H97" s="240">
        <v>7.84</v>
      </c>
      <c r="I97" s="240">
        <v>9.7349999999999994</v>
      </c>
      <c r="J97" s="239">
        <v>3.9481884365881985</v>
      </c>
      <c r="K97" s="116">
        <v>69922.97</v>
      </c>
      <c r="L97" s="112">
        <v>3.5803244162734657E-2</v>
      </c>
      <c r="M97" s="242">
        <v>615</v>
      </c>
      <c r="N97" s="112">
        <v>3.5000000000000003E-2</v>
      </c>
      <c r="O97" s="112">
        <v>4.5999999999999999E-2</v>
      </c>
      <c r="P97" s="19">
        <f t="shared" si="32"/>
        <v>1.1249474127050898E-2</v>
      </c>
      <c r="Q97" s="19">
        <f t="shared" si="33"/>
        <v>0.99228612068523436</v>
      </c>
      <c r="R97" s="19">
        <f t="shared" si="34"/>
        <v>7.6329701591171927E-3</v>
      </c>
      <c r="S97" s="19">
        <f t="shared" si="35"/>
        <v>1.0403763327330751E-2</v>
      </c>
      <c r="T97" s="19">
        <f t="shared" si="36"/>
        <v>0.99441146744455877</v>
      </c>
      <c r="U97" s="91">
        <f t="shared" si="37"/>
        <v>7.6493189803427614E-3</v>
      </c>
      <c r="V97" s="19">
        <f t="shared" si="38"/>
        <v>8.2908567923690221E-3</v>
      </c>
      <c r="W97" s="19">
        <f t="shared" si="39"/>
        <v>8.27929326217762E-3</v>
      </c>
      <c r="X97" s="19">
        <f t="shared" si="40"/>
        <v>7.2046088045948616E-3</v>
      </c>
      <c r="Y97" s="19">
        <f t="shared" si="41"/>
        <v>0.99469455605312396</v>
      </c>
      <c r="Z97" s="91">
        <f t="shared" si="42"/>
        <v>7.6514965850240273E-3</v>
      </c>
      <c r="AA97" s="19">
        <f t="shared" si="43"/>
        <v>7.3863769183483826E-3</v>
      </c>
      <c r="AB97" s="19">
        <f t="shared" si="44"/>
        <v>5.5989002485365476E-3</v>
      </c>
      <c r="AC97" s="19">
        <f t="shared" si="45"/>
        <v>6.7515432098765446E-3</v>
      </c>
      <c r="AD97" s="19">
        <f t="shared" si="46"/>
        <v>7.4520083549891479E-3</v>
      </c>
      <c r="AE97" s="23">
        <f>('Modelo AHP'!$U$37*aux!P97)+('Modelo AHP'!$U$38*aux!R97)+('Modelo AHP'!$U$39*aux!S97)</f>
        <v>1.0380397250425439E-2</v>
      </c>
      <c r="AF97" s="24">
        <f>aux!U97</f>
        <v>7.6493189803427614E-3</v>
      </c>
      <c r="AG97" s="23">
        <f>('Modelo AHP'!$U$47*aux!V97)+('Modelo AHP'!$U$48*aux!W97)+('Modelo AHP'!$U$49*aux!X97)</f>
        <v>7.8649482045050033E-3</v>
      </c>
      <c r="AH97" s="24">
        <f t="shared" si="47"/>
        <v>7.6514965850240273E-3</v>
      </c>
      <c r="AI97" s="23">
        <f>('Modelo AHP'!$U$56*aux!AA97)+('Modelo AHP'!$U$57*aux!AB97)+('Modelo AHP'!$U$58*aux!AC97)+('Modelo AHP'!$U$59*aux!AD97)</f>
        <v>6.3745039062373214E-3</v>
      </c>
      <c r="AJ97" s="25">
        <f>('Modelo AHP'!$U$23*aux!AE97)+('Modelo AHP'!$U$24*aux!AF97)+('Modelo AHP'!$U$25*aux!AG97)+('Modelo AHP'!$U$26*aux!AH97)+('Modelo AHP'!$U$27*aux!AI97)</f>
        <v>8.0595979919442073E-3</v>
      </c>
    </row>
    <row r="98" spans="1:36">
      <c r="A98" s="248">
        <v>51</v>
      </c>
      <c r="B98" s="14" t="s">
        <v>113</v>
      </c>
      <c r="C98" s="15" t="s">
        <v>116</v>
      </c>
      <c r="D98" s="239">
        <v>14.1</v>
      </c>
      <c r="E98" s="240">
        <v>84.52</v>
      </c>
      <c r="F98" s="239">
        <v>42.515000252105075</v>
      </c>
      <c r="G98" s="241">
        <v>30692.208681767053</v>
      </c>
      <c r="H98" s="240">
        <v>7.59</v>
      </c>
      <c r="I98" s="240">
        <v>10.065000000000001</v>
      </c>
      <c r="J98" s="239">
        <v>3.9481884365881985</v>
      </c>
      <c r="K98" s="116">
        <v>78315.240000000005</v>
      </c>
      <c r="L98" s="112">
        <v>3.5803244162734657E-2</v>
      </c>
      <c r="M98" s="242">
        <v>615</v>
      </c>
      <c r="N98" s="112">
        <v>3.5000000000000003E-2</v>
      </c>
      <c r="O98" s="112">
        <v>4.5999999999999999E-2</v>
      </c>
      <c r="P98" s="19">
        <f t="shared" si="32"/>
        <v>1.1863693731594439E-2</v>
      </c>
      <c r="Q98" s="19">
        <f t="shared" si="33"/>
        <v>0.99239588197242834</v>
      </c>
      <c r="R98" s="19">
        <f t="shared" si="34"/>
        <v>7.6338144767109919E-3</v>
      </c>
      <c r="S98" s="19">
        <f t="shared" si="35"/>
        <v>8.9472612230684003E-3</v>
      </c>
      <c r="T98" s="19">
        <f t="shared" si="36"/>
        <v>0.99436848005360345</v>
      </c>
      <c r="U98" s="91">
        <f t="shared" si="37"/>
        <v>7.648988308104644E-3</v>
      </c>
      <c r="V98" s="19">
        <f t="shared" si="38"/>
        <v>8.0264799813878681E-3</v>
      </c>
      <c r="W98" s="19">
        <f t="shared" si="39"/>
        <v>8.5599472710649969E-3</v>
      </c>
      <c r="X98" s="19">
        <f t="shared" si="40"/>
        <v>7.2046088045948616E-3</v>
      </c>
      <c r="Y98" s="19">
        <f t="shared" si="41"/>
        <v>0.99405778793426336</v>
      </c>
      <c r="Z98" s="91">
        <f t="shared" si="42"/>
        <v>7.6465983687250992E-3</v>
      </c>
      <c r="AA98" s="19">
        <f t="shared" si="43"/>
        <v>7.3863769183483826E-3</v>
      </c>
      <c r="AB98" s="19">
        <f t="shared" si="44"/>
        <v>5.5989002485365476E-3</v>
      </c>
      <c r="AC98" s="19">
        <f t="shared" si="45"/>
        <v>6.7515432098765446E-3</v>
      </c>
      <c r="AD98" s="19">
        <f t="shared" si="46"/>
        <v>7.4520083549891479E-3</v>
      </c>
      <c r="AE98" s="23">
        <f>('Modelo AHP'!$U$37*aux!P98)+('Modelo AHP'!$U$38*aux!R98)+('Modelo AHP'!$U$39*aux!S98)</f>
        <v>9.6908463009904716E-3</v>
      </c>
      <c r="AF98" s="24">
        <f>aux!U98</f>
        <v>7.648988308104644E-3</v>
      </c>
      <c r="AG98" s="23">
        <f>('Modelo AHP'!$U$47*aux!V98)+('Modelo AHP'!$U$48*aux!W98)+('Modelo AHP'!$U$49*aux!X98)</f>
        <v>7.944665839899813E-3</v>
      </c>
      <c r="AH98" s="24">
        <f t="shared" si="47"/>
        <v>7.6465983687250992E-3</v>
      </c>
      <c r="AI98" s="23">
        <f>('Modelo AHP'!$U$56*aux!AA98)+('Modelo AHP'!$U$57*aux!AB98)+('Modelo AHP'!$U$58*aux!AC98)+('Modelo AHP'!$U$59*aux!AD98)</f>
        <v>6.3745039062373214E-3</v>
      </c>
      <c r="AJ98" s="25">
        <f>('Modelo AHP'!$U$23*aux!AE98)+('Modelo AHP'!$U$24*aux!AF98)+('Modelo AHP'!$U$25*aux!AG98)+('Modelo AHP'!$U$26*aux!AH98)+('Modelo AHP'!$U$27*aux!AI98)</f>
        <v>7.971289093780972E-3</v>
      </c>
    </row>
    <row r="99" spans="1:36">
      <c r="A99" s="248">
        <v>61</v>
      </c>
      <c r="B99" s="14" t="s">
        <v>113</v>
      </c>
      <c r="C99" s="15" t="s">
        <v>325</v>
      </c>
      <c r="D99" s="239">
        <v>9.1999999999999993</v>
      </c>
      <c r="E99" s="240">
        <v>85.39</v>
      </c>
      <c r="F99" s="239">
        <v>34.671205877082961</v>
      </c>
      <c r="G99" s="241">
        <v>34608.856409260581</v>
      </c>
      <c r="H99" s="240">
        <v>7.36</v>
      </c>
      <c r="I99" s="240">
        <v>9.5100000000000016</v>
      </c>
      <c r="J99" s="239">
        <v>3.9481884365881985</v>
      </c>
      <c r="K99" s="116">
        <v>84808.59</v>
      </c>
      <c r="L99" s="112">
        <v>3.5803244162734657E-2</v>
      </c>
      <c r="M99" s="242">
        <v>615</v>
      </c>
      <c r="N99" s="112">
        <v>3.5000000000000003E-2</v>
      </c>
      <c r="O99" s="112">
        <v>4.5999999999999999E-2</v>
      </c>
      <c r="P99" s="19">
        <f t="shared" si="32"/>
        <v>7.7408498106857331E-3</v>
      </c>
      <c r="Q99" s="19">
        <f t="shared" si="33"/>
        <v>0.99231760957910142</v>
      </c>
      <c r="R99" s="19">
        <f t="shared" si="34"/>
        <v>7.6332123813777084E-3</v>
      </c>
      <c r="S99" s="19">
        <f t="shared" si="35"/>
        <v>7.2965384937445886E-3</v>
      </c>
      <c r="T99" s="19">
        <f t="shared" si="36"/>
        <v>0.99364983904509596</v>
      </c>
      <c r="U99" s="91">
        <f t="shared" si="37"/>
        <v>7.6434603003468935E-3</v>
      </c>
      <c r="V99" s="19">
        <f t="shared" si="38"/>
        <v>7.7832533152852055E-3</v>
      </c>
      <c r="W99" s="19">
        <f t="shared" si="39"/>
        <v>8.0879382561180463E-3</v>
      </c>
      <c r="X99" s="19">
        <f t="shared" si="40"/>
        <v>7.2046088045948616E-3</v>
      </c>
      <c r="Y99" s="19">
        <f t="shared" si="41"/>
        <v>0.99356510141862409</v>
      </c>
      <c r="Z99" s="91">
        <f t="shared" si="42"/>
        <v>7.6428084724509508E-3</v>
      </c>
      <c r="AA99" s="19">
        <f t="shared" si="43"/>
        <v>7.3863769183483826E-3</v>
      </c>
      <c r="AB99" s="19">
        <f t="shared" si="44"/>
        <v>5.5989002485365476E-3</v>
      </c>
      <c r="AC99" s="19">
        <f t="shared" si="45"/>
        <v>6.7515432098765446E-3</v>
      </c>
      <c r="AD99" s="19">
        <f t="shared" si="46"/>
        <v>7.4520083549891479E-3</v>
      </c>
      <c r="AE99" s="23">
        <f>('Modelo AHP'!$U$37*aux!P99)+('Modelo AHP'!$U$38*aux!R99)+('Modelo AHP'!$U$39*aux!S99)</f>
        <v>7.4634992775902444E-3</v>
      </c>
      <c r="AF99" s="24">
        <f>aux!U99</f>
        <v>7.6434603003468935E-3</v>
      </c>
      <c r="AG99" s="23">
        <f>('Modelo AHP'!$U$47*aux!V99)+('Modelo AHP'!$U$48*aux!W99)+('Modelo AHP'!$U$49*aux!X99)</f>
        <v>7.6942093792159248E-3</v>
      </c>
      <c r="AH99" s="24">
        <f t="shared" si="47"/>
        <v>7.6428084724509508E-3</v>
      </c>
      <c r="AI99" s="23">
        <f>('Modelo AHP'!$U$56*aux!AA99)+('Modelo AHP'!$U$57*aux!AB99)+('Modelo AHP'!$U$58*aux!AC99)+('Modelo AHP'!$U$59*aux!AD99)</f>
        <v>6.3745039062373214E-3</v>
      </c>
      <c r="AJ99" s="25">
        <f>('Modelo AHP'!$U$23*aux!AE99)+('Modelo AHP'!$U$24*aux!AF99)+('Modelo AHP'!$U$25*aux!AG99)+('Modelo AHP'!$U$26*aux!AH99)+('Modelo AHP'!$U$27*aux!AI99)</f>
        <v>7.5119227293077894E-3</v>
      </c>
    </row>
    <row r="100" spans="1:36">
      <c r="A100" s="248">
        <v>65</v>
      </c>
      <c r="B100" s="14" t="s">
        <v>113</v>
      </c>
      <c r="C100" s="15" t="s">
        <v>117</v>
      </c>
      <c r="D100" s="239">
        <v>5.0999999999999996</v>
      </c>
      <c r="E100" s="240">
        <v>83.43</v>
      </c>
      <c r="F100" s="239">
        <v>33.61297926922277</v>
      </c>
      <c r="G100" s="241">
        <v>43132.755061208933</v>
      </c>
      <c r="H100" s="240">
        <v>7.06</v>
      </c>
      <c r="I100" s="240">
        <v>9.3849999999999998</v>
      </c>
      <c r="J100" s="239">
        <v>3.9481884365881985</v>
      </c>
      <c r="K100" s="116">
        <v>94399.38</v>
      </c>
      <c r="L100" s="112">
        <v>3.5803244162734657E-2</v>
      </c>
      <c r="M100" s="242">
        <v>615</v>
      </c>
      <c r="N100" s="112">
        <v>3.5000000000000003E-2</v>
      </c>
      <c r="O100" s="112">
        <v>4.5999999999999999E-2</v>
      </c>
      <c r="P100" s="19">
        <f t="shared" si="32"/>
        <v>4.2911232646192649E-3</v>
      </c>
      <c r="Q100" s="19">
        <f t="shared" si="33"/>
        <v>0.99249394738475738</v>
      </c>
      <c r="R100" s="19">
        <f t="shared" si="34"/>
        <v>7.6345688260366007E-3</v>
      </c>
      <c r="S100" s="19">
        <f t="shared" si="35"/>
        <v>7.0738352163699659E-3</v>
      </c>
      <c r="T100" s="19">
        <f t="shared" si="36"/>
        <v>0.992085842599704</v>
      </c>
      <c r="U100" s="91">
        <f t="shared" si="37"/>
        <v>7.6314295584592635E-3</v>
      </c>
      <c r="V100" s="19">
        <f t="shared" si="38"/>
        <v>7.4660011421078185E-3</v>
      </c>
      <c r="W100" s="19">
        <f t="shared" si="39"/>
        <v>7.9816299194182799E-3</v>
      </c>
      <c r="X100" s="19">
        <f t="shared" si="40"/>
        <v>7.2046088045948616E-3</v>
      </c>
      <c r="Y100" s="19">
        <f t="shared" si="41"/>
        <v>0.99283739493316936</v>
      </c>
      <c r="Z100" s="91">
        <f t="shared" si="42"/>
        <v>7.6372107302551456E-3</v>
      </c>
      <c r="AA100" s="19">
        <f t="shared" si="43"/>
        <v>7.3863769183483826E-3</v>
      </c>
      <c r="AB100" s="19">
        <f t="shared" si="44"/>
        <v>5.5989002485365476E-3</v>
      </c>
      <c r="AC100" s="19">
        <f t="shared" si="45"/>
        <v>6.7515432098765446E-3</v>
      </c>
      <c r="AD100" s="19">
        <f t="shared" si="46"/>
        <v>7.4520083549891479E-3</v>
      </c>
      <c r="AE100" s="23">
        <f>('Modelo AHP'!$U$37*aux!P100)+('Modelo AHP'!$U$38*aux!R100)+('Modelo AHP'!$U$39*aux!S100)</f>
        <v>6.2950949918114188E-3</v>
      </c>
      <c r="AF100" s="24">
        <f>aux!U100</f>
        <v>7.6314295584592635E-3</v>
      </c>
      <c r="AG100" s="23">
        <f>('Modelo AHP'!$U$47*aux!V100)+('Modelo AHP'!$U$48*aux!W100)+('Modelo AHP'!$U$49*aux!X100)</f>
        <v>7.5933901398567739E-3</v>
      </c>
      <c r="AH100" s="24">
        <f t="shared" si="47"/>
        <v>7.6372107302551456E-3</v>
      </c>
      <c r="AI100" s="23">
        <f>('Modelo AHP'!$U$56*aux!AA100)+('Modelo AHP'!$U$57*aux!AB100)+('Modelo AHP'!$U$58*aux!AC100)+('Modelo AHP'!$U$59*aux!AD100)</f>
        <v>6.3745039062373214E-3</v>
      </c>
      <c r="AJ100" s="25">
        <f>('Modelo AHP'!$U$23*aux!AE100)+('Modelo AHP'!$U$24*aux!AF100)+('Modelo AHP'!$U$25*aux!AG100)+('Modelo AHP'!$U$26*aux!AH100)+('Modelo AHP'!$U$27*aux!AI100)</f>
        <v>7.2781790880830245E-3</v>
      </c>
    </row>
    <row r="101" spans="1:36">
      <c r="A101" s="248">
        <v>86</v>
      </c>
      <c r="B101" s="14" t="s">
        <v>113</v>
      </c>
      <c r="C101" s="15" t="s">
        <v>118</v>
      </c>
      <c r="D101" s="239">
        <v>5.18</v>
      </c>
      <c r="E101" s="240">
        <v>85.88</v>
      </c>
      <c r="F101" s="239">
        <v>18.417945690672962</v>
      </c>
      <c r="G101" s="241">
        <v>57428.84205137143</v>
      </c>
      <c r="H101" s="240">
        <v>4.95</v>
      </c>
      <c r="I101" s="240">
        <v>7.0250000000000004</v>
      </c>
      <c r="J101" s="239">
        <v>3.9481884365881985</v>
      </c>
      <c r="K101" s="116">
        <v>102430.02</v>
      </c>
      <c r="L101" s="112">
        <v>3.5803244162734657E-2</v>
      </c>
      <c r="M101" s="242">
        <v>615</v>
      </c>
      <c r="N101" s="112">
        <v>3.5000000000000003E-2</v>
      </c>
      <c r="O101" s="112">
        <v>4.5999999999999999E-2</v>
      </c>
      <c r="P101" s="19">
        <f t="shared" ref="P101:P135" si="48">D101/$P$1</f>
        <v>4.3584350021034892E-3</v>
      </c>
      <c r="Q101" s="19">
        <f t="shared" ref="Q101:Q135" si="49">1-(E101/Q$1)</f>
        <v>0.99227352512768752</v>
      </c>
      <c r="R101" s="19">
        <f t="shared" ref="R101:R132" si="50">Q101/R$1</f>
        <v>7.6328732702129858E-3</v>
      </c>
      <c r="S101" s="19">
        <f t="shared" ref="S101:S135" si="51">F101/S$1</f>
        <v>3.8760477551350492E-3</v>
      </c>
      <c r="T101" s="19">
        <f t="shared" ref="T101:T135" si="52">1-(G101/T$1)</f>
        <v>0.98946274369290077</v>
      </c>
      <c r="U101" s="91">
        <f t="shared" ref="U101:U132" si="53">T101/U$1</f>
        <v>7.6112518745607765E-3</v>
      </c>
      <c r="V101" s="19">
        <f t="shared" ref="V101:V135" si="54">H101/V$1</f>
        <v>5.2346608574268703E-3</v>
      </c>
      <c r="W101" s="19">
        <f t="shared" ref="W101:W135" si="55">I101/W$1</f>
        <v>5.9745285225267369E-3</v>
      </c>
      <c r="X101" s="19">
        <f t="shared" ref="X101:X135" si="56">J101/X$1</f>
        <v>7.2046088045948616E-3</v>
      </c>
      <c r="Y101" s="19">
        <f t="shared" ref="Y101:Y135" si="57">1-(K101/Y$1)</f>
        <v>0.99222806569018185</v>
      </c>
      <c r="Z101" s="91">
        <f t="shared" ref="Z101:Z132" si="58">Y101/Z$1</f>
        <v>7.6325235822321648E-3</v>
      </c>
      <c r="AA101" s="19">
        <f t="shared" ref="AA101:AA135" si="59">L101/$AA$1</f>
        <v>7.3863769183483826E-3</v>
      </c>
      <c r="AB101" s="19">
        <f t="shared" ref="AB101:AB135" si="60">M101/AB$1</f>
        <v>5.5989002485365476E-3</v>
      </c>
      <c r="AC101" s="19">
        <f t="shared" ref="AC101:AC135" si="61">N101/AC$1</f>
        <v>6.7515432098765446E-3</v>
      </c>
      <c r="AD101" s="19">
        <f t="shared" ref="AD101:AD135" si="62">O101/AD$1</f>
        <v>7.4520083549891479E-3</v>
      </c>
      <c r="AE101" s="23">
        <f>('Modelo AHP'!$U$37*aux!P101)+('Modelo AHP'!$U$38*aux!R101)+('Modelo AHP'!$U$39*aux!S101)</f>
        <v>4.396446480733375E-3</v>
      </c>
      <c r="AF101" s="24">
        <f>aux!U101</f>
        <v>7.6112518745607765E-3</v>
      </c>
      <c r="AG101" s="23">
        <f>('Modelo AHP'!$U$47*aux!V101)+('Modelo AHP'!$U$48*aux!W101)+('Modelo AHP'!$U$49*aux!X101)</f>
        <v>6.3258404499387782E-3</v>
      </c>
      <c r="AH101" s="24">
        <f t="shared" ref="AH101:AH135" si="63">Z101</f>
        <v>7.6325235822321648E-3</v>
      </c>
      <c r="AI101" s="23">
        <f>('Modelo AHP'!$U$56*aux!AA101)+('Modelo AHP'!$U$57*aux!AB101)+('Modelo AHP'!$U$58*aux!AC101)+('Modelo AHP'!$U$59*aux!AD101)</f>
        <v>6.3745039062373214E-3</v>
      </c>
      <c r="AJ101" s="25">
        <f>('Modelo AHP'!$U$23*aux!AE101)+('Modelo AHP'!$U$24*aux!AF101)+('Modelo AHP'!$U$25*aux!AG101)+('Modelo AHP'!$U$26*aux!AH101)+('Modelo AHP'!$U$27*aux!AI101)</f>
        <v>6.5213069471267817E-3</v>
      </c>
    </row>
    <row r="102" spans="1:36">
      <c r="A102" s="248">
        <v>82</v>
      </c>
      <c r="B102" s="14" t="s">
        <v>113</v>
      </c>
      <c r="C102" s="15" t="s">
        <v>119</v>
      </c>
      <c r="D102" s="239">
        <v>5.26</v>
      </c>
      <c r="E102" s="240">
        <v>85.76</v>
      </c>
      <c r="F102" s="239">
        <v>19.248826291079812</v>
      </c>
      <c r="G102" s="241">
        <v>53788.674353326314</v>
      </c>
      <c r="H102" s="240">
        <v>6.23</v>
      </c>
      <c r="I102" s="240">
        <v>8.57</v>
      </c>
      <c r="J102" s="239">
        <v>3.9481884365881985</v>
      </c>
      <c r="K102" s="116">
        <v>111362.62</v>
      </c>
      <c r="L102" s="112">
        <v>3.5803244162734657E-2</v>
      </c>
      <c r="M102" s="242">
        <v>615</v>
      </c>
      <c r="N102" s="112">
        <v>3.5000000000000003E-2</v>
      </c>
      <c r="O102" s="112">
        <v>4.5999999999999999E-2</v>
      </c>
      <c r="P102" s="19">
        <f t="shared" si="48"/>
        <v>4.4257467395877126E-3</v>
      </c>
      <c r="Q102" s="19">
        <f t="shared" si="49"/>
        <v>0.99228432131987043</v>
      </c>
      <c r="R102" s="19">
        <f t="shared" si="50"/>
        <v>7.6329563178451623E-3</v>
      </c>
      <c r="S102" s="19">
        <f t="shared" si="51"/>
        <v>4.0509061752911661E-3</v>
      </c>
      <c r="T102" s="19">
        <f t="shared" si="52"/>
        <v>0.99013065512320286</v>
      </c>
      <c r="U102" s="91">
        <f t="shared" si="53"/>
        <v>7.6163896547938696E-3</v>
      </c>
      <c r="V102" s="19">
        <f t="shared" si="54"/>
        <v>6.5882701296503844E-3</v>
      </c>
      <c r="W102" s="19">
        <f t="shared" si="55"/>
        <v>7.2884995641358192E-3</v>
      </c>
      <c r="X102" s="19">
        <f t="shared" si="56"/>
        <v>7.2046088045948616E-3</v>
      </c>
      <c r="Y102" s="19">
        <f t="shared" si="57"/>
        <v>0.99155029973430397</v>
      </c>
      <c r="Z102" s="91">
        <f t="shared" si="58"/>
        <v>7.6273099979561809E-3</v>
      </c>
      <c r="AA102" s="19">
        <f t="shared" si="59"/>
        <v>7.3863769183483826E-3</v>
      </c>
      <c r="AB102" s="19">
        <f t="shared" si="60"/>
        <v>5.5989002485365476E-3</v>
      </c>
      <c r="AC102" s="19">
        <f t="shared" si="61"/>
        <v>6.7515432098765446E-3</v>
      </c>
      <c r="AD102" s="19">
        <f t="shared" si="62"/>
        <v>7.4520083549891479E-3</v>
      </c>
      <c r="AE102" s="23">
        <f>('Modelo AHP'!$U$37*aux!P102)+('Modelo AHP'!$U$38*aux!R102)+('Modelo AHP'!$U$39*aux!S102)</f>
        <v>4.52156335883553E-3</v>
      </c>
      <c r="AF102" s="24">
        <f>aux!U102</f>
        <v>7.6163896547938696E-3</v>
      </c>
      <c r="AG102" s="23">
        <f>('Modelo AHP'!$U$47*aux!V102)+('Modelo AHP'!$U$48*aux!W102)+('Modelo AHP'!$U$49*aux!X102)</f>
        <v>7.1375239835288085E-3</v>
      </c>
      <c r="AH102" s="24">
        <f t="shared" si="63"/>
        <v>7.6273099979561809E-3</v>
      </c>
      <c r="AI102" s="23">
        <f>('Modelo AHP'!$U$56*aux!AA102)+('Modelo AHP'!$U$57*aux!AB102)+('Modelo AHP'!$U$58*aux!AC102)+('Modelo AHP'!$U$59*aux!AD102)</f>
        <v>6.3745039062373214E-3</v>
      </c>
      <c r="AJ102" s="25">
        <f>('Modelo AHP'!$U$23*aux!AE102)+('Modelo AHP'!$U$24*aux!AF102)+('Modelo AHP'!$U$25*aux!AG102)+('Modelo AHP'!$U$26*aux!AH102)+('Modelo AHP'!$U$27*aux!AI102)</f>
        <v>6.820825947693729E-3</v>
      </c>
    </row>
    <row r="103" spans="1:36">
      <c r="A103" s="248">
        <v>106</v>
      </c>
      <c r="B103" s="14" t="s">
        <v>113</v>
      </c>
      <c r="C103" s="15" t="s">
        <v>120</v>
      </c>
      <c r="D103" s="239">
        <v>5.36</v>
      </c>
      <c r="E103" s="240">
        <v>86.41</v>
      </c>
      <c r="F103" s="239">
        <v>15.891132572431959</v>
      </c>
      <c r="G103" s="241">
        <v>71758</v>
      </c>
      <c r="H103" s="240">
        <v>3.35</v>
      </c>
      <c r="I103" s="240">
        <v>3.9550000000000001</v>
      </c>
      <c r="J103" s="239">
        <v>3.9481884365881985</v>
      </c>
      <c r="K103" s="116">
        <v>165422.10999999999</v>
      </c>
      <c r="L103" s="112">
        <v>3.5803244162734657E-2</v>
      </c>
      <c r="M103" s="242">
        <v>615</v>
      </c>
      <c r="N103" s="112">
        <v>3.5000000000000003E-2</v>
      </c>
      <c r="O103" s="112">
        <v>4.5999999999999999E-2</v>
      </c>
      <c r="P103" s="19">
        <f t="shared" si="48"/>
        <v>4.5098864114429928E-3</v>
      </c>
      <c r="Q103" s="19">
        <f t="shared" si="49"/>
        <v>0.99222584194554575</v>
      </c>
      <c r="R103" s="19">
        <f t="shared" si="50"/>
        <v>7.6325064765042031E-3</v>
      </c>
      <c r="S103" s="19">
        <f t="shared" si="51"/>
        <v>3.3442811575408538E-3</v>
      </c>
      <c r="T103" s="19">
        <f t="shared" si="52"/>
        <v>0.98683357680434425</v>
      </c>
      <c r="U103" s="91">
        <f t="shared" si="53"/>
        <v>7.5910275138795728E-3</v>
      </c>
      <c r="V103" s="19">
        <f t="shared" si="54"/>
        <v>3.5426492671474779E-3</v>
      </c>
      <c r="W103" s="19">
        <f t="shared" si="55"/>
        <v>3.3635957731805327E-3</v>
      </c>
      <c r="X103" s="19">
        <f t="shared" si="56"/>
        <v>7.2046088045948616E-3</v>
      </c>
      <c r="Y103" s="19">
        <f t="shared" si="57"/>
        <v>0.98744850608921564</v>
      </c>
      <c r="Z103" s="91">
        <f t="shared" si="58"/>
        <v>7.5957577391478097E-3</v>
      </c>
      <c r="AA103" s="19">
        <f t="shared" si="59"/>
        <v>7.3863769183483826E-3</v>
      </c>
      <c r="AB103" s="19">
        <f t="shared" si="60"/>
        <v>5.5989002485365476E-3</v>
      </c>
      <c r="AC103" s="19">
        <f t="shared" si="61"/>
        <v>6.7515432098765446E-3</v>
      </c>
      <c r="AD103" s="19">
        <f t="shared" si="62"/>
        <v>7.4520083549891479E-3</v>
      </c>
      <c r="AE103" s="23">
        <f>('Modelo AHP'!$U$37*aux!P103)+('Modelo AHP'!$U$38*aux!R103)+('Modelo AHP'!$U$39*aux!S103)</f>
        <v>4.1227852656078312E-3</v>
      </c>
      <c r="AF103" s="24">
        <f>aux!U103</f>
        <v>7.5910275138795728E-3</v>
      </c>
      <c r="AG103" s="23">
        <f>('Modelo AHP'!$U$47*aux!V103)+('Modelo AHP'!$U$48*aux!W103)+('Modelo AHP'!$U$49*aux!X103)</f>
        <v>4.8817887055285147E-3</v>
      </c>
      <c r="AH103" s="24">
        <f t="shared" si="63"/>
        <v>7.5957577391478097E-3</v>
      </c>
      <c r="AI103" s="23">
        <f>('Modelo AHP'!$U$56*aux!AA103)+('Modelo AHP'!$U$57*aux!AB103)+('Modelo AHP'!$U$58*aux!AC103)+('Modelo AHP'!$U$59*aux!AD103)</f>
        <v>6.3745039062373214E-3</v>
      </c>
      <c r="AJ103" s="25">
        <f>('Modelo AHP'!$U$23*aux!AE103)+('Modelo AHP'!$U$24*aux!AF103)+('Modelo AHP'!$U$25*aux!AG103)+('Modelo AHP'!$U$26*aux!AH103)+('Modelo AHP'!$U$27*aux!AI103)</f>
        <v>5.9728796100104696E-3</v>
      </c>
    </row>
    <row r="104" spans="1:36">
      <c r="A104" s="248">
        <v>90</v>
      </c>
      <c r="B104" s="14" t="s">
        <v>113</v>
      </c>
      <c r="C104" s="15" t="s">
        <v>121</v>
      </c>
      <c r="D104" s="239">
        <v>2.78</v>
      </c>
      <c r="E104" s="240">
        <v>86.37</v>
      </c>
      <c r="F104" s="239">
        <v>15.616862988220706</v>
      </c>
      <c r="G104" s="241">
        <v>66647.54388251128</v>
      </c>
      <c r="H104" s="240">
        <v>5.17</v>
      </c>
      <c r="I104" s="240">
        <v>7.2750000000000004</v>
      </c>
      <c r="J104" s="239">
        <v>3.9481884365881985</v>
      </c>
      <c r="K104" s="116">
        <v>112108.16</v>
      </c>
      <c r="L104" s="112">
        <v>3.5803244162734657E-2</v>
      </c>
      <c r="M104" s="242">
        <v>615</v>
      </c>
      <c r="N104" s="112">
        <v>3.5000000000000003E-2</v>
      </c>
      <c r="O104" s="112">
        <v>4.5999999999999999E-2</v>
      </c>
      <c r="P104" s="19">
        <f t="shared" si="48"/>
        <v>2.3390828775767761E-3</v>
      </c>
      <c r="Q104" s="19">
        <f t="shared" si="49"/>
        <v>0.9922294406762735</v>
      </c>
      <c r="R104" s="19">
        <f t="shared" si="50"/>
        <v>7.6325341590482631E-3</v>
      </c>
      <c r="S104" s="19">
        <f t="shared" si="51"/>
        <v>3.2865612563076664E-3</v>
      </c>
      <c r="T104" s="19">
        <f t="shared" si="52"/>
        <v>0.9877712621908612</v>
      </c>
      <c r="U104" s="91">
        <f t="shared" si="53"/>
        <v>7.5982404783912416E-3</v>
      </c>
      <c r="V104" s="19">
        <f t="shared" si="54"/>
        <v>5.4673124510902869E-3</v>
      </c>
      <c r="W104" s="19">
        <f t="shared" si="55"/>
        <v>6.1871451959262646E-3</v>
      </c>
      <c r="X104" s="19">
        <f t="shared" si="56"/>
        <v>7.2046088045948616E-3</v>
      </c>
      <c r="Y104" s="19">
        <f t="shared" si="57"/>
        <v>0.99149373147525899</v>
      </c>
      <c r="Z104" s="91">
        <f t="shared" si="58"/>
        <v>7.6268748575019892E-3</v>
      </c>
      <c r="AA104" s="19">
        <f t="shared" si="59"/>
        <v>7.3863769183483826E-3</v>
      </c>
      <c r="AB104" s="19">
        <f t="shared" si="60"/>
        <v>5.5989002485365476E-3</v>
      </c>
      <c r="AC104" s="19">
        <f t="shared" si="61"/>
        <v>6.7515432098765446E-3</v>
      </c>
      <c r="AD104" s="19">
        <f t="shared" si="62"/>
        <v>7.4520083549891479E-3</v>
      </c>
      <c r="AE104" s="23">
        <f>('Modelo AHP'!$U$37*aux!P104)+('Modelo AHP'!$U$38*aux!R104)+('Modelo AHP'!$U$39*aux!S104)</f>
        <v>3.4369150329624592E-3</v>
      </c>
      <c r="AF104" s="24">
        <f>aux!U104</f>
        <v>7.5982404783912416E-3</v>
      </c>
      <c r="AG104" s="23">
        <f>('Modelo AHP'!$U$47*aux!V104)+('Modelo AHP'!$U$48*aux!W104)+('Modelo AHP'!$U$49*aux!X104)</f>
        <v>6.4594854934602727E-3</v>
      </c>
      <c r="AH104" s="24">
        <f t="shared" si="63"/>
        <v>7.6268748575019892E-3</v>
      </c>
      <c r="AI104" s="23">
        <f>('Modelo AHP'!$U$56*aux!AA104)+('Modelo AHP'!$U$57*aux!AB104)+('Modelo AHP'!$U$58*aux!AC104)+('Modelo AHP'!$U$59*aux!AD104)</f>
        <v>6.3745039062373214E-3</v>
      </c>
      <c r="AJ104" s="25">
        <f>('Modelo AHP'!$U$23*aux!AE104)+('Modelo AHP'!$U$24*aux!AF104)+('Modelo AHP'!$U$25*aux!AG104)+('Modelo AHP'!$U$26*aux!AH104)+('Modelo AHP'!$U$27*aux!AI104)</f>
        <v>6.4022233056740532E-3</v>
      </c>
    </row>
    <row r="105" spans="1:36">
      <c r="A105" s="248">
        <v>107</v>
      </c>
      <c r="B105" s="14" t="s">
        <v>122</v>
      </c>
      <c r="C105" s="15" t="s">
        <v>123</v>
      </c>
      <c r="D105" s="239">
        <v>3.49</v>
      </c>
      <c r="E105" s="240">
        <v>83.78</v>
      </c>
      <c r="F105" s="239">
        <v>12.505446623093682</v>
      </c>
      <c r="G105" s="241">
        <v>82127.242000787897</v>
      </c>
      <c r="H105" s="240">
        <v>4.5599999999999996</v>
      </c>
      <c r="I105" s="240">
        <v>6.3949999999999996</v>
      </c>
      <c r="J105" s="239">
        <v>3.3673435856992637</v>
      </c>
      <c r="K105" s="116">
        <v>144910.85</v>
      </c>
      <c r="L105" s="112">
        <v>3.2195456102294781E-2</v>
      </c>
      <c r="M105" s="242">
        <v>415</v>
      </c>
      <c r="N105" s="112">
        <v>3.5000000000000003E-2</v>
      </c>
      <c r="O105" s="112">
        <v>0.04</v>
      </c>
      <c r="P105" s="19">
        <f t="shared" si="48"/>
        <v>2.9364745477492623E-3</v>
      </c>
      <c r="Q105" s="19">
        <f t="shared" si="49"/>
        <v>0.99246245849089021</v>
      </c>
      <c r="R105" s="19">
        <f t="shared" si="50"/>
        <v>7.6343266037760833E-3</v>
      </c>
      <c r="S105" s="19">
        <f t="shared" si="51"/>
        <v>2.6317651883917773E-3</v>
      </c>
      <c r="T105" s="19">
        <f t="shared" si="52"/>
        <v>0.98493098993736716</v>
      </c>
      <c r="U105" s="91">
        <f t="shared" si="53"/>
        <v>7.5763922302874414E-3</v>
      </c>
      <c r="V105" s="19">
        <f t="shared" si="54"/>
        <v>4.8222330322962676E-3</v>
      </c>
      <c r="W105" s="19">
        <f t="shared" si="55"/>
        <v>5.4387345055599253E-3</v>
      </c>
      <c r="X105" s="19">
        <f t="shared" si="56"/>
        <v>6.144689807812063E-3</v>
      </c>
      <c r="Y105" s="19">
        <f t="shared" si="57"/>
        <v>0.98900480926412082</v>
      </c>
      <c r="Z105" s="91">
        <f t="shared" si="58"/>
        <v>7.6077293020316954E-3</v>
      </c>
      <c r="AA105" s="19">
        <f t="shared" si="59"/>
        <v>6.6420733481243549E-3</v>
      </c>
      <c r="AB105" s="19">
        <f t="shared" si="60"/>
        <v>3.7781196799067762E-3</v>
      </c>
      <c r="AC105" s="19">
        <f t="shared" si="61"/>
        <v>6.7515432098765446E-3</v>
      </c>
      <c r="AD105" s="19">
        <f t="shared" si="62"/>
        <v>6.4800072652079549E-3</v>
      </c>
      <c r="AE105" s="23">
        <f>('Modelo AHP'!$U$37*aux!P105)+('Modelo AHP'!$U$38*aux!R105)+('Modelo AHP'!$U$39*aux!S105)</f>
        <v>3.2234341377374532E-3</v>
      </c>
      <c r="AF105" s="24">
        <f>aux!U105</f>
        <v>7.5763922302874414E-3</v>
      </c>
      <c r="AG105" s="23">
        <f>('Modelo AHP'!$U$47*aux!V105)+('Modelo AHP'!$U$48*aux!W105)+('Modelo AHP'!$U$49*aux!X105)</f>
        <v>5.6078891534531005E-3</v>
      </c>
      <c r="AH105" s="24">
        <f t="shared" si="63"/>
        <v>7.6077293020316954E-3</v>
      </c>
      <c r="AI105" s="23">
        <f>('Modelo AHP'!$U$56*aux!AA105)+('Modelo AHP'!$U$57*aux!AB105)+('Modelo AHP'!$U$58*aux!AC105)+('Modelo AHP'!$U$59*aux!AD105)</f>
        <v>5.2314312249206515E-3</v>
      </c>
      <c r="AJ105" s="25">
        <f>('Modelo AHP'!$U$23*aux!AE105)+('Modelo AHP'!$U$24*aux!AF105)+('Modelo AHP'!$U$25*aux!AG105)+('Modelo AHP'!$U$26*aux!AH105)+('Modelo AHP'!$U$27*aux!AI105)</f>
        <v>5.9600837113277195E-3</v>
      </c>
    </row>
    <row r="106" spans="1:36">
      <c r="A106" s="248">
        <v>116</v>
      </c>
      <c r="B106" s="14" t="s">
        <v>122</v>
      </c>
      <c r="C106" s="15" t="s">
        <v>124</v>
      </c>
      <c r="D106" s="239">
        <v>4.45</v>
      </c>
      <c r="E106" s="240">
        <v>86.22</v>
      </c>
      <c r="F106" s="239">
        <v>13.773731111972104</v>
      </c>
      <c r="G106" s="241">
        <v>81087.934461822457</v>
      </c>
      <c r="H106" s="240">
        <v>3.57</v>
      </c>
      <c r="I106" s="240">
        <v>4.6549999999999994</v>
      </c>
      <c r="J106" s="239">
        <v>3.3673435856992637</v>
      </c>
      <c r="K106" s="116">
        <v>214964.83</v>
      </c>
      <c r="L106" s="112">
        <v>3.2195456102294781E-2</v>
      </c>
      <c r="M106" s="242">
        <v>415</v>
      </c>
      <c r="N106" s="112">
        <v>3.5000000000000003E-2</v>
      </c>
      <c r="O106" s="112">
        <v>0.04</v>
      </c>
      <c r="P106" s="19">
        <f t="shared" si="48"/>
        <v>3.7442153975599476E-3</v>
      </c>
      <c r="Q106" s="19">
        <f t="shared" si="49"/>
        <v>0.99224293591650226</v>
      </c>
      <c r="R106" s="19">
        <f t="shared" si="50"/>
        <v>7.632637968588484E-3</v>
      </c>
      <c r="S106" s="19">
        <f t="shared" si="51"/>
        <v>2.8986750451451982E-3</v>
      </c>
      <c r="T106" s="19">
        <f t="shared" si="52"/>
        <v>0.98512168592789717</v>
      </c>
      <c r="U106" s="91">
        <f t="shared" si="53"/>
        <v>7.5778591225222876E-3</v>
      </c>
      <c r="V106" s="19">
        <f t="shared" si="54"/>
        <v>3.775300860810894E-3</v>
      </c>
      <c r="W106" s="19">
        <f t="shared" si="55"/>
        <v>3.9589224586992107E-3</v>
      </c>
      <c r="X106" s="19">
        <f t="shared" si="56"/>
        <v>6.144689807812063E-3</v>
      </c>
      <c r="Y106" s="19">
        <f t="shared" si="57"/>
        <v>0.98368942486117605</v>
      </c>
      <c r="Z106" s="91">
        <f t="shared" si="58"/>
        <v>7.5668417297013509E-3</v>
      </c>
      <c r="AA106" s="19">
        <f t="shared" si="59"/>
        <v>6.6420733481243549E-3</v>
      </c>
      <c r="AB106" s="19">
        <f t="shared" si="60"/>
        <v>3.7781196799067762E-3</v>
      </c>
      <c r="AC106" s="19">
        <f t="shared" si="61"/>
        <v>6.7515432098765446E-3</v>
      </c>
      <c r="AD106" s="19">
        <f t="shared" si="62"/>
        <v>6.4800072652079549E-3</v>
      </c>
      <c r="AE106" s="23">
        <f>('Modelo AHP'!$U$37*aux!P106)+('Modelo AHP'!$U$38*aux!R106)+('Modelo AHP'!$U$39*aux!S106)</f>
        <v>3.6257334432139516E-3</v>
      </c>
      <c r="AF106" s="24">
        <f>aux!U106</f>
        <v>7.5778591225222876E-3</v>
      </c>
      <c r="AG106" s="23">
        <f>('Modelo AHP'!$U$47*aux!V106)+('Modelo AHP'!$U$48*aux!W106)+('Modelo AHP'!$U$49*aux!X106)</f>
        <v>4.7745566166711613E-3</v>
      </c>
      <c r="AH106" s="24">
        <f t="shared" si="63"/>
        <v>7.5668417297013509E-3</v>
      </c>
      <c r="AI106" s="23">
        <f>('Modelo AHP'!$U$56*aux!AA106)+('Modelo AHP'!$U$57*aux!AB106)+('Modelo AHP'!$U$58*aux!AC106)+('Modelo AHP'!$U$59*aux!AD106)</f>
        <v>5.2314312249206515E-3</v>
      </c>
      <c r="AJ106" s="25">
        <f>('Modelo AHP'!$U$23*aux!AE106)+('Modelo AHP'!$U$24*aux!AF106)+('Modelo AHP'!$U$25*aux!AG106)+('Modelo AHP'!$U$26*aux!AH106)+('Modelo AHP'!$U$27*aux!AI106)</f>
        <v>5.7398507276071771E-3</v>
      </c>
    </row>
    <row r="107" spans="1:36">
      <c r="A107" s="248">
        <v>78</v>
      </c>
      <c r="B107" s="14" t="s">
        <v>122</v>
      </c>
      <c r="C107" s="15" t="s">
        <v>125</v>
      </c>
      <c r="D107" s="239">
        <v>5.22</v>
      </c>
      <c r="E107" s="240">
        <v>85.72</v>
      </c>
      <c r="F107" s="239">
        <v>39.104789407391479</v>
      </c>
      <c r="G107" s="241">
        <v>37404.47490222373</v>
      </c>
      <c r="H107" s="240">
        <v>6.98</v>
      </c>
      <c r="I107" s="240">
        <v>8.66</v>
      </c>
      <c r="J107" s="239">
        <v>3.3673435856992637</v>
      </c>
      <c r="K107" s="116">
        <v>93174.45</v>
      </c>
      <c r="L107" s="112">
        <v>3.2195456102294781E-2</v>
      </c>
      <c r="M107" s="242">
        <v>415</v>
      </c>
      <c r="N107" s="112">
        <v>3.5000000000000003E-2</v>
      </c>
      <c r="O107" s="112">
        <v>0.04</v>
      </c>
      <c r="P107" s="19">
        <f t="shared" si="48"/>
        <v>4.3920908708456009E-3</v>
      </c>
      <c r="Q107" s="19">
        <f t="shared" si="49"/>
        <v>0.99228792005059818</v>
      </c>
      <c r="R107" s="19">
        <f t="shared" si="50"/>
        <v>7.6329840003892214E-3</v>
      </c>
      <c r="S107" s="19">
        <f t="shared" si="51"/>
        <v>8.2295840015592092E-3</v>
      </c>
      <c r="T107" s="19">
        <f t="shared" si="52"/>
        <v>0.99313688862602134</v>
      </c>
      <c r="U107" s="91">
        <f t="shared" si="53"/>
        <v>7.6395145278924737E-3</v>
      </c>
      <c r="V107" s="19">
        <f t="shared" si="54"/>
        <v>7.3814005625938497E-3</v>
      </c>
      <c r="W107" s="19">
        <f t="shared" si="55"/>
        <v>7.3650415665596491E-3</v>
      </c>
      <c r="X107" s="19">
        <f t="shared" si="56"/>
        <v>6.144689807812063E-3</v>
      </c>
      <c r="Y107" s="19">
        <f t="shared" si="57"/>
        <v>0.99293033717309198</v>
      </c>
      <c r="Z107" s="91">
        <f t="shared" si="58"/>
        <v>7.6379256705622423E-3</v>
      </c>
      <c r="AA107" s="19">
        <f t="shared" si="59"/>
        <v>6.6420733481243549E-3</v>
      </c>
      <c r="AB107" s="19">
        <f t="shared" si="60"/>
        <v>3.7781196799067762E-3</v>
      </c>
      <c r="AC107" s="19">
        <f t="shared" si="61"/>
        <v>6.7515432098765446E-3</v>
      </c>
      <c r="AD107" s="19">
        <f t="shared" si="62"/>
        <v>6.4800072652079549E-3</v>
      </c>
      <c r="AE107" s="23">
        <f>('Modelo AHP'!$U$37*aux!P107)+('Modelo AHP'!$U$38*aux!R107)+('Modelo AHP'!$U$39*aux!S107)</f>
        <v>7.0186760622281278E-3</v>
      </c>
      <c r="AF107" s="24">
        <f>aux!U107</f>
        <v>7.6395145278924737E-3</v>
      </c>
      <c r="AG107" s="23">
        <f>('Modelo AHP'!$U$47*aux!V107)+('Modelo AHP'!$U$48*aux!W107)+('Modelo AHP'!$U$49*aux!X107)</f>
        <v>6.8950806112894093E-3</v>
      </c>
      <c r="AH107" s="24">
        <f t="shared" si="63"/>
        <v>7.6379256705622423E-3</v>
      </c>
      <c r="AI107" s="23">
        <f>('Modelo AHP'!$U$56*aux!AA107)+('Modelo AHP'!$U$57*aux!AB107)+('Modelo AHP'!$U$58*aux!AC107)+('Modelo AHP'!$U$59*aux!AD107)</f>
        <v>5.2314312249206515E-3</v>
      </c>
      <c r="AJ107" s="25">
        <f>('Modelo AHP'!$U$23*aux!AE107)+('Modelo AHP'!$U$24*aux!AF107)+('Modelo AHP'!$U$25*aux!AG107)+('Modelo AHP'!$U$26*aux!AH107)+('Modelo AHP'!$U$27*aux!AI107)</f>
        <v>7.0559526504802138E-3</v>
      </c>
    </row>
    <row r="108" spans="1:36">
      <c r="A108" s="248">
        <v>56</v>
      </c>
      <c r="B108" s="14" t="s">
        <v>122</v>
      </c>
      <c r="C108" s="15" t="s">
        <v>126</v>
      </c>
      <c r="D108" s="239">
        <v>7.29</v>
      </c>
      <c r="E108" s="240">
        <v>85.33</v>
      </c>
      <c r="F108" s="239">
        <v>46.049221257876589</v>
      </c>
      <c r="G108" s="241">
        <v>33796.320032797885</v>
      </c>
      <c r="H108" s="240">
        <v>8.42</v>
      </c>
      <c r="I108" s="240">
        <v>10.51</v>
      </c>
      <c r="J108" s="239">
        <v>3.3673435856992637</v>
      </c>
      <c r="K108" s="116">
        <v>80414.91</v>
      </c>
      <c r="L108" s="112">
        <v>3.2195456102294781E-2</v>
      </c>
      <c r="M108" s="242">
        <v>415</v>
      </c>
      <c r="N108" s="112">
        <v>3.5000000000000003E-2</v>
      </c>
      <c r="O108" s="112">
        <v>0.04</v>
      </c>
      <c r="P108" s="19">
        <f t="shared" si="48"/>
        <v>6.1337820782498918E-3</v>
      </c>
      <c r="Q108" s="19">
        <f t="shared" si="49"/>
        <v>0.99232300767519299</v>
      </c>
      <c r="R108" s="19">
        <f t="shared" si="50"/>
        <v>7.6332539051937971E-3</v>
      </c>
      <c r="S108" s="19">
        <f t="shared" si="51"/>
        <v>9.6910363229433562E-3</v>
      </c>
      <c r="T108" s="19">
        <f t="shared" si="52"/>
        <v>0.99379892622414734</v>
      </c>
      <c r="U108" s="91">
        <f t="shared" si="53"/>
        <v>7.644607124801135E-3</v>
      </c>
      <c r="V108" s="19">
        <f t="shared" si="54"/>
        <v>8.9042109938453021E-3</v>
      </c>
      <c r="W108" s="19">
        <f t="shared" si="55"/>
        <v>8.9384049497161569E-3</v>
      </c>
      <c r="X108" s="19">
        <f t="shared" si="56"/>
        <v>6.144689807812063E-3</v>
      </c>
      <c r="Y108" s="19">
        <f t="shared" si="57"/>
        <v>0.99389847431397604</v>
      </c>
      <c r="Z108" s="91">
        <f t="shared" si="58"/>
        <v>7.6453728793382742E-3</v>
      </c>
      <c r="AA108" s="19">
        <f t="shared" si="59"/>
        <v>6.6420733481243549E-3</v>
      </c>
      <c r="AB108" s="19">
        <f t="shared" si="60"/>
        <v>3.7781196799067762E-3</v>
      </c>
      <c r="AC108" s="19">
        <f t="shared" si="61"/>
        <v>6.7515432098765446E-3</v>
      </c>
      <c r="AD108" s="19">
        <f t="shared" si="62"/>
        <v>6.4800072652079549E-3</v>
      </c>
      <c r="AE108" s="23">
        <f>('Modelo AHP'!$U$37*aux!P108)+('Modelo AHP'!$U$38*aux!R108)+('Modelo AHP'!$U$39*aux!S108)</f>
        <v>8.4180818077603612E-3</v>
      </c>
      <c r="AF108" s="24">
        <f>aux!U108</f>
        <v>7.644607124801135E-3</v>
      </c>
      <c r="AG108" s="23">
        <f>('Modelo AHP'!$U$47*aux!V108)+('Modelo AHP'!$U$48*aux!W108)+('Modelo AHP'!$U$49*aux!X108)</f>
        <v>7.8504150759353113E-3</v>
      </c>
      <c r="AH108" s="24">
        <f t="shared" si="63"/>
        <v>7.6453728793382742E-3</v>
      </c>
      <c r="AI108" s="23">
        <f>('Modelo AHP'!$U$56*aux!AA108)+('Modelo AHP'!$U$57*aux!AB108)+('Modelo AHP'!$U$58*aux!AC108)+('Modelo AHP'!$U$59*aux!AD108)</f>
        <v>5.2314312249206515E-3</v>
      </c>
      <c r="AJ108" s="25">
        <f>('Modelo AHP'!$U$23*aux!AE108)+('Modelo AHP'!$U$24*aux!AF108)+('Modelo AHP'!$U$25*aux!AG108)+('Modelo AHP'!$U$26*aux!AH108)+('Modelo AHP'!$U$27*aux!AI108)</f>
        <v>7.6181574029861639E-3</v>
      </c>
    </row>
    <row r="109" spans="1:36">
      <c r="A109" s="248">
        <v>71</v>
      </c>
      <c r="B109" s="14" t="s">
        <v>122</v>
      </c>
      <c r="C109" s="15" t="s">
        <v>127</v>
      </c>
      <c r="D109" s="239">
        <v>6.11</v>
      </c>
      <c r="E109" s="240">
        <v>83.33</v>
      </c>
      <c r="F109" s="239">
        <v>38.28662527269676</v>
      </c>
      <c r="G109" s="241">
        <v>37312.650932657307</v>
      </c>
      <c r="H109" s="240">
        <v>7.66</v>
      </c>
      <c r="I109" s="240">
        <v>9.27</v>
      </c>
      <c r="J109" s="239">
        <v>3.3673435856992637</v>
      </c>
      <c r="K109" s="116">
        <v>104698.61</v>
      </c>
      <c r="L109" s="112">
        <v>3.2195456102294781E-2</v>
      </c>
      <c r="M109" s="242">
        <v>415</v>
      </c>
      <c r="N109" s="112">
        <v>3.5000000000000003E-2</v>
      </c>
      <c r="O109" s="112">
        <v>0.04</v>
      </c>
      <c r="P109" s="19">
        <f t="shared" si="48"/>
        <v>5.1409339503575907E-3</v>
      </c>
      <c r="Q109" s="19">
        <f t="shared" si="49"/>
        <v>0.99250294421157659</v>
      </c>
      <c r="R109" s="19">
        <f t="shared" si="50"/>
        <v>7.6346380323967476E-3</v>
      </c>
      <c r="S109" s="19">
        <f t="shared" si="51"/>
        <v>8.0574017554566248E-3</v>
      </c>
      <c r="T109" s="19">
        <f t="shared" si="52"/>
        <v>0.99315373682751551</v>
      </c>
      <c r="U109" s="91">
        <f t="shared" si="53"/>
        <v>7.6396441294424283E-3</v>
      </c>
      <c r="V109" s="19">
        <f t="shared" si="54"/>
        <v>8.1005054884625907E-3</v>
      </c>
      <c r="W109" s="19">
        <f t="shared" si="55"/>
        <v>7.8838262496544968E-3</v>
      </c>
      <c r="X109" s="19">
        <f t="shared" si="56"/>
        <v>6.144689807812063E-3</v>
      </c>
      <c r="Y109" s="19">
        <f t="shared" si="57"/>
        <v>0.99205593517164914</v>
      </c>
      <c r="Z109" s="91">
        <f t="shared" si="58"/>
        <v>7.6311995013203749E-3</v>
      </c>
      <c r="AA109" s="19">
        <f t="shared" si="59"/>
        <v>6.6420733481243549E-3</v>
      </c>
      <c r="AB109" s="19">
        <f t="shared" si="60"/>
        <v>3.7781196799067762E-3</v>
      </c>
      <c r="AC109" s="19">
        <f t="shared" si="61"/>
        <v>6.7515432098765446E-3</v>
      </c>
      <c r="AD109" s="19">
        <f t="shared" si="62"/>
        <v>6.4800072652079549E-3</v>
      </c>
      <c r="AE109" s="23">
        <f>('Modelo AHP'!$U$37*aux!P109)+('Modelo AHP'!$U$38*aux!R109)+('Modelo AHP'!$U$39*aux!S109)</f>
        <v>7.1401850416209266E-3</v>
      </c>
      <c r="AF109" s="24">
        <f>aux!U109</f>
        <v>7.6396441294424283E-3</v>
      </c>
      <c r="AG109" s="23">
        <f>('Modelo AHP'!$U$47*aux!V109)+('Modelo AHP'!$U$48*aux!W109)+('Modelo AHP'!$U$49*aux!X109)</f>
        <v>7.2467973067454946E-3</v>
      </c>
      <c r="AH109" s="24">
        <f t="shared" si="63"/>
        <v>7.6311995013203749E-3</v>
      </c>
      <c r="AI109" s="23">
        <f>('Modelo AHP'!$U$56*aux!AA109)+('Modelo AHP'!$U$57*aux!AB109)+('Modelo AHP'!$U$58*aux!AC109)+('Modelo AHP'!$U$59*aux!AD109)</f>
        <v>5.2314312249206515E-3</v>
      </c>
      <c r="AJ109" s="25">
        <f>('Modelo AHP'!$U$23*aux!AE109)+('Modelo AHP'!$U$24*aux!AF109)+('Modelo AHP'!$U$25*aux!AG109)+('Modelo AHP'!$U$26*aux!AH109)+('Modelo AHP'!$U$27*aux!AI109)</f>
        <v>7.1959576408934644E-3</v>
      </c>
    </row>
    <row r="110" spans="1:36">
      <c r="A110" s="248">
        <v>101</v>
      </c>
      <c r="B110" s="14" t="s">
        <v>122</v>
      </c>
      <c r="C110" s="15" t="s">
        <v>128</v>
      </c>
      <c r="D110" s="239">
        <v>5.3</v>
      </c>
      <c r="E110" s="240">
        <v>83.23</v>
      </c>
      <c r="F110" s="239">
        <v>14.30162560661911</v>
      </c>
      <c r="G110" s="241">
        <v>53809.729269838557</v>
      </c>
      <c r="H110" s="240">
        <v>4.8099999999999996</v>
      </c>
      <c r="I110" s="240">
        <v>6.6349999999999998</v>
      </c>
      <c r="J110" s="239">
        <v>3.3673435856992637</v>
      </c>
      <c r="K110" s="116">
        <v>114515.59</v>
      </c>
      <c r="L110" s="112">
        <v>3.2195456102294781E-2</v>
      </c>
      <c r="M110" s="242">
        <v>415</v>
      </c>
      <c r="N110" s="112">
        <v>3.5000000000000003E-2</v>
      </c>
      <c r="O110" s="112">
        <v>0.04</v>
      </c>
      <c r="P110" s="19">
        <f t="shared" si="48"/>
        <v>4.4594026083298252E-3</v>
      </c>
      <c r="Q110" s="19">
        <f t="shared" si="49"/>
        <v>0.9925119410383958</v>
      </c>
      <c r="R110" s="19">
        <f t="shared" si="50"/>
        <v>7.6347072387568955E-3</v>
      </c>
      <c r="S110" s="19">
        <f t="shared" si="51"/>
        <v>3.0097701860088651E-3</v>
      </c>
      <c r="T110" s="19">
        <f t="shared" si="52"/>
        <v>0.99012679188926167</v>
      </c>
      <c r="U110" s="91">
        <f t="shared" si="53"/>
        <v>7.6163599376097065E-3</v>
      </c>
      <c r="V110" s="19">
        <f t="shared" si="54"/>
        <v>5.0866098432774233E-3</v>
      </c>
      <c r="W110" s="19">
        <f t="shared" si="55"/>
        <v>5.6428465120234722E-3</v>
      </c>
      <c r="X110" s="19">
        <f t="shared" si="56"/>
        <v>6.144689807812063E-3</v>
      </c>
      <c r="Y110" s="19">
        <f t="shared" si="57"/>
        <v>0.99131106639508537</v>
      </c>
      <c r="Z110" s="91">
        <f t="shared" si="58"/>
        <v>7.6254697415006536E-3</v>
      </c>
      <c r="AA110" s="19">
        <f t="shared" si="59"/>
        <v>6.6420733481243549E-3</v>
      </c>
      <c r="AB110" s="19">
        <f t="shared" si="60"/>
        <v>3.7781196799067762E-3</v>
      </c>
      <c r="AC110" s="19">
        <f t="shared" si="61"/>
        <v>6.7515432098765446E-3</v>
      </c>
      <c r="AD110" s="19">
        <f t="shared" si="62"/>
        <v>6.4800072652079549E-3</v>
      </c>
      <c r="AE110" s="23">
        <f>('Modelo AHP'!$U$37*aux!P110)+('Modelo AHP'!$U$38*aux!R110)+('Modelo AHP'!$U$39*aux!S110)</f>
        <v>3.9071536179799563E-3</v>
      </c>
      <c r="AF110" s="24">
        <f>aux!U110</f>
        <v>7.6163599376097065E-3</v>
      </c>
      <c r="AG110" s="23">
        <f>('Modelo AHP'!$U$47*aux!V110)+('Modelo AHP'!$U$48*aux!W110)+('Modelo AHP'!$U$49*aux!X110)</f>
        <v>5.743130882827515E-3</v>
      </c>
      <c r="AH110" s="24">
        <f t="shared" si="63"/>
        <v>7.6254697415006536E-3</v>
      </c>
      <c r="AI110" s="23">
        <f>('Modelo AHP'!$U$56*aux!AA110)+('Modelo AHP'!$U$57*aux!AB110)+('Modelo AHP'!$U$58*aux!AC110)+('Modelo AHP'!$U$59*aux!AD110)</f>
        <v>5.2314312249206515E-3</v>
      </c>
      <c r="AJ110" s="25">
        <f>('Modelo AHP'!$U$23*aux!AE110)+('Modelo AHP'!$U$24*aux!AF110)+('Modelo AHP'!$U$25*aux!AG110)+('Modelo AHP'!$U$26*aux!AH110)+('Modelo AHP'!$U$27*aux!AI110)</f>
        <v>6.1346293430513598E-3</v>
      </c>
    </row>
    <row r="111" spans="1:36">
      <c r="A111" s="248">
        <v>9</v>
      </c>
      <c r="B111" s="14" t="s">
        <v>129</v>
      </c>
      <c r="C111" s="15" t="s">
        <v>326</v>
      </c>
      <c r="D111" s="239">
        <v>15.21</v>
      </c>
      <c r="E111" s="240">
        <v>83.44</v>
      </c>
      <c r="F111" s="239">
        <v>62.849986581984076</v>
      </c>
      <c r="G111" s="241">
        <v>22696.961787609471</v>
      </c>
      <c r="H111" s="240">
        <v>11.45</v>
      </c>
      <c r="I111" s="240">
        <v>12.65</v>
      </c>
      <c r="J111" s="239">
        <v>6.8197536308873499</v>
      </c>
      <c r="K111" s="116">
        <v>51867.47</v>
      </c>
      <c r="L111" s="112">
        <v>5.0019297568506371E-2</v>
      </c>
      <c r="M111" s="242">
        <v>1625</v>
      </c>
      <c r="N111" s="112">
        <v>6.4000000000000001E-2</v>
      </c>
      <c r="O111" s="112">
        <v>7.1999999999999995E-2</v>
      </c>
      <c r="P111" s="19">
        <f t="shared" si="48"/>
        <v>1.2797644089188046E-2</v>
      </c>
      <c r="Q111" s="19">
        <f t="shared" si="49"/>
        <v>0.99249304770207547</v>
      </c>
      <c r="R111" s="19">
        <f t="shared" si="50"/>
        <v>7.6345619054005859E-3</v>
      </c>
      <c r="S111" s="19">
        <f t="shared" si="51"/>
        <v>1.3226749252753727E-2</v>
      </c>
      <c r="T111" s="19">
        <f t="shared" si="52"/>
        <v>0.9958354775195617</v>
      </c>
      <c r="U111" s="91">
        <f t="shared" si="53"/>
        <v>7.6602729039966302E-3</v>
      </c>
      <c r="V111" s="19">
        <f t="shared" si="54"/>
        <v>1.2108457942936902E-2</v>
      </c>
      <c r="W111" s="19">
        <f t="shared" si="55"/>
        <v>1.0758403674016117E-2</v>
      </c>
      <c r="X111" s="19">
        <f t="shared" si="56"/>
        <v>1.2444607911550774E-2</v>
      </c>
      <c r="Y111" s="19">
        <f t="shared" si="57"/>
        <v>0.99606452708242699</v>
      </c>
      <c r="Z111" s="91">
        <f t="shared" si="58"/>
        <v>7.6620348237109734E-3</v>
      </c>
      <c r="AA111" s="19">
        <f t="shared" si="59"/>
        <v>1.0319215302186609E-2</v>
      </c>
      <c r="AB111" s="19">
        <f t="shared" si="60"/>
        <v>1.4793842120116894E-2</v>
      </c>
      <c r="AC111" s="19">
        <f t="shared" si="61"/>
        <v>1.2345679012345682E-2</v>
      </c>
      <c r="AD111" s="19">
        <f t="shared" si="62"/>
        <v>1.1664013077374318E-2</v>
      </c>
      <c r="AE111" s="23">
        <f>('Modelo AHP'!$U$37*aux!P111)+('Modelo AHP'!$U$38*aux!R111)+('Modelo AHP'!$U$39*aux!S111)</f>
        <v>1.253879896894871E-2</v>
      </c>
      <c r="AF111" s="24">
        <f>aux!U111</f>
        <v>7.6602729039966302E-3</v>
      </c>
      <c r="AG111" s="23">
        <f>('Modelo AHP'!$U$47*aux!V111)+('Modelo AHP'!$U$48*aux!W111)+('Modelo AHP'!$U$49*aux!X111)</f>
        <v>1.164001932778538E-2</v>
      </c>
      <c r="AH111" s="24">
        <f t="shared" si="63"/>
        <v>7.6620348237109734E-3</v>
      </c>
      <c r="AI111" s="23">
        <f>('Modelo AHP'!$U$56*aux!AA111)+('Modelo AHP'!$U$57*aux!AB111)+('Modelo AHP'!$U$58*aux!AC111)+('Modelo AHP'!$U$59*aux!AD111)</f>
        <v>1.3135695939551337E-2</v>
      </c>
      <c r="AJ111" s="25">
        <f>('Modelo AHP'!$U$23*aux!AE111)+('Modelo AHP'!$U$24*aux!AF111)+('Modelo AHP'!$U$25*aux!AG111)+('Modelo AHP'!$U$26*aux!AH111)+('Modelo AHP'!$U$27*aux!AI111)</f>
        <v>1.0347141659903461E-2</v>
      </c>
    </row>
    <row r="112" spans="1:36">
      <c r="A112" s="248">
        <v>1</v>
      </c>
      <c r="B112" s="14" t="s">
        <v>129</v>
      </c>
      <c r="C112" s="15" t="s">
        <v>130</v>
      </c>
      <c r="D112" s="239">
        <v>29.07</v>
      </c>
      <c r="E112" s="240">
        <v>82.19</v>
      </c>
      <c r="F112" s="239">
        <v>73.835800807537012</v>
      </c>
      <c r="G112" s="241">
        <v>19859.259299024117</v>
      </c>
      <c r="H112" s="240">
        <v>13.33</v>
      </c>
      <c r="I112" s="240">
        <v>16.835000000000001</v>
      </c>
      <c r="J112" s="239">
        <v>6.8197536308873499</v>
      </c>
      <c r="K112" s="116">
        <v>26918.19</v>
      </c>
      <c r="L112" s="112">
        <v>5.0019297568506371E-2</v>
      </c>
      <c r="M112" s="242">
        <v>1625</v>
      </c>
      <c r="N112" s="112">
        <v>6.4000000000000001E-2</v>
      </c>
      <c r="O112" s="112">
        <v>7.1999999999999995E-2</v>
      </c>
      <c r="P112" s="19">
        <f t="shared" si="48"/>
        <v>2.4459402608329815E-2</v>
      </c>
      <c r="Q112" s="19">
        <f t="shared" si="49"/>
        <v>0.99260550803731529</v>
      </c>
      <c r="R112" s="19">
        <f t="shared" si="50"/>
        <v>7.6354269849024303E-3</v>
      </c>
      <c r="S112" s="19">
        <f t="shared" si="51"/>
        <v>1.5538708538682607E-2</v>
      </c>
      <c r="T112" s="19">
        <f t="shared" si="52"/>
        <v>0.99635614966577646</v>
      </c>
      <c r="U112" s="91">
        <f t="shared" si="53"/>
        <v>7.6642780743521287E-3</v>
      </c>
      <c r="V112" s="19">
        <f t="shared" si="54"/>
        <v>1.4096571561515187E-2</v>
      </c>
      <c r="W112" s="19">
        <f t="shared" si="55"/>
        <v>1.4317606786724215E-2</v>
      </c>
      <c r="X112" s="19">
        <f t="shared" si="56"/>
        <v>1.2444607911550774E-2</v>
      </c>
      <c r="Y112" s="19">
        <f t="shared" si="57"/>
        <v>0.99795756747466025</v>
      </c>
      <c r="Z112" s="91">
        <f t="shared" si="58"/>
        <v>7.6765966728819983E-3</v>
      </c>
      <c r="AA112" s="19">
        <f t="shared" si="59"/>
        <v>1.0319215302186609E-2</v>
      </c>
      <c r="AB112" s="19">
        <f t="shared" si="60"/>
        <v>1.4793842120116894E-2</v>
      </c>
      <c r="AC112" s="19">
        <f t="shared" si="61"/>
        <v>1.2345679012345682E-2</v>
      </c>
      <c r="AD112" s="19">
        <f t="shared" si="62"/>
        <v>1.1664013077374318E-2</v>
      </c>
      <c r="AE112" s="23">
        <f>('Modelo AHP'!$U$37*aux!P112)+('Modelo AHP'!$U$38*aux!R112)+('Modelo AHP'!$U$39*aux!S112)</f>
        <v>1.7424588604198751E-2</v>
      </c>
      <c r="AF112" s="24">
        <f>aux!U112</f>
        <v>7.6642780743521287E-3</v>
      </c>
      <c r="AG112" s="23">
        <f>('Modelo AHP'!$U$47*aux!V112)+('Modelo AHP'!$U$48*aux!W112)+('Modelo AHP'!$U$49*aux!X112)</f>
        <v>1.355466218535414E-2</v>
      </c>
      <c r="AH112" s="24">
        <f t="shared" si="63"/>
        <v>7.6765966728819983E-3</v>
      </c>
      <c r="AI112" s="23">
        <f>('Modelo AHP'!$U$56*aux!AA112)+('Modelo AHP'!$U$57*aux!AB112)+('Modelo AHP'!$U$58*aux!AC112)+('Modelo AHP'!$U$59*aux!AD112)</f>
        <v>1.3135695939551337E-2</v>
      </c>
      <c r="AJ112" s="25">
        <f>('Modelo AHP'!$U$23*aux!AE112)+('Modelo AHP'!$U$24*aux!AF112)+('Modelo AHP'!$U$25*aux!AG112)+('Modelo AHP'!$U$26*aux!AH112)+('Modelo AHP'!$U$27*aux!AI112)</f>
        <v>1.1819175612037757E-2</v>
      </c>
    </row>
    <row r="113" spans="1:36">
      <c r="A113" s="248">
        <v>29</v>
      </c>
      <c r="B113" s="14" t="s">
        <v>129</v>
      </c>
      <c r="C113" s="15" t="s">
        <v>131</v>
      </c>
      <c r="D113" s="239">
        <v>9.68</v>
      </c>
      <c r="E113" s="240">
        <v>82.43</v>
      </c>
      <c r="F113" s="239">
        <v>46.064942212438083</v>
      </c>
      <c r="G113" s="241">
        <v>30468.900348241252</v>
      </c>
      <c r="H113" s="240">
        <v>8.1300000000000008</v>
      </c>
      <c r="I113" s="240">
        <v>8.870000000000001</v>
      </c>
      <c r="J113" s="239">
        <v>6.8197536308873499</v>
      </c>
      <c r="K113" s="116">
        <v>62585.86</v>
      </c>
      <c r="L113" s="112">
        <v>5.0019297568506371E-2</v>
      </c>
      <c r="M113" s="242">
        <v>1625</v>
      </c>
      <c r="N113" s="112">
        <v>6.4000000000000001E-2</v>
      </c>
      <c r="O113" s="112">
        <v>7.1999999999999995E-2</v>
      </c>
      <c r="P113" s="19">
        <f t="shared" si="48"/>
        <v>8.1447202355910756E-3</v>
      </c>
      <c r="Q113" s="19">
        <f t="shared" si="49"/>
        <v>0.99258391565294923</v>
      </c>
      <c r="R113" s="19">
        <f t="shared" si="50"/>
        <v>7.6352608896380764E-3</v>
      </c>
      <c r="S113" s="19">
        <f t="shared" si="51"/>
        <v>9.6943447902208719E-3</v>
      </c>
      <c r="T113" s="19">
        <f t="shared" si="52"/>
        <v>0.99440945349241605</v>
      </c>
      <c r="U113" s="91">
        <f t="shared" si="53"/>
        <v>7.6493034884032021E-3</v>
      </c>
      <c r="V113" s="19">
        <f t="shared" si="54"/>
        <v>8.5975338931071638E-3</v>
      </c>
      <c r="W113" s="19">
        <f t="shared" si="55"/>
        <v>7.5436395722152539E-3</v>
      </c>
      <c r="X113" s="19">
        <f t="shared" si="56"/>
        <v>1.2444607911550774E-2</v>
      </c>
      <c r="Y113" s="19">
        <f t="shared" si="57"/>
        <v>0.99525126332452651</v>
      </c>
      <c r="Z113" s="91">
        <f t="shared" si="58"/>
        <v>7.6557789486502003E-3</v>
      </c>
      <c r="AA113" s="19">
        <f t="shared" si="59"/>
        <v>1.0319215302186609E-2</v>
      </c>
      <c r="AB113" s="19">
        <f t="shared" si="60"/>
        <v>1.4793842120116894E-2</v>
      </c>
      <c r="AC113" s="19">
        <f t="shared" si="61"/>
        <v>1.2345679012345682E-2</v>
      </c>
      <c r="AD113" s="19">
        <f t="shared" si="62"/>
        <v>1.1664013077374318E-2</v>
      </c>
      <c r="AE113" s="23">
        <f>('Modelo AHP'!$U$37*aux!P113)+('Modelo AHP'!$U$38*aux!R113)+('Modelo AHP'!$U$39*aux!S113)</f>
        <v>9.0235490337736528E-3</v>
      </c>
      <c r="AF113" s="24">
        <f>aux!U113</f>
        <v>7.6493034884032021E-3</v>
      </c>
      <c r="AG113" s="23">
        <f>('Modelo AHP'!$U$47*aux!V113)+('Modelo AHP'!$U$48*aux!W113)+('Modelo AHP'!$U$49*aux!X113)</f>
        <v>9.620451422333174E-3</v>
      </c>
      <c r="AH113" s="24">
        <f t="shared" si="63"/>
        <v>7.6557789486502003E-3</v>
      </c>
      <c r="AI113" s="23">
        <f>('Modelo AHP'!$U$56*aux!AA113)+('Modelo AHP'!$U$57*aux!AB113)+('Modelo AHP'!$U$58*aux!AC113)+('Modelo AHP'!$U$59*aux!AD113)</f>
        <v>1.3135695939551337E-2</v>
      </c>
      <c r="AJ113" s="25">
        <f>('Modelo AHP'!$U$23*aux!AE113)+('Modelo AHP'!$U$24*aux!AF113)+('Modelo AHP'!$U$25*aux!AG113)+('Modelo AHP'!$U$26*aux!AH113)+('Modelo AHP'!$U$27*aux!AI113)</f>
        <v>9.066351976813514E-3</v>
      </c>
    </row>
    <row r="114" spans="1:36">
      <c r="A114" s="248">
        <v>20</v>
      </c>
      <c r="B114" s="14" t="s">
        <v>129</v>
      </c>
      <c r="C114" s="15" t="s">
        <v>132</v>
      </c>
      <c r="D114" s="239">
        <v>15.06</v>
      </c>
      <c r="E114" s="240">
        <v>84.38</v>
      </c>
      <c r="F114" s="239">
        <v>56.926461571753165</v>
      </c>
      <c r="G114" s="241">
        <v>28679.350949633899</v>
      </c>
      <c r="H114" s="240">
        <v>9.19</v>
      </c>
      <c r="I114" s="240">
        <v>10.395</v>
      </c>
      <c r="J114" s="239">
        <v>6.8197536308873499</v>
      </c>
      <c r="K114" s="116">
        <v>52127.25</v>
      </c>
      <c r="L114" s="112">
        <v>5.0019297568506371E-2</v>
      </c>
      <c r="M114" s="242">
        <v>1625</v>
      </c>
      <c r="N114" s="112">
        <v>6.4000000000000001E-2</v>
      </c>
      <c r="O114" s="112">
        <v>7.1999999999999995E-2</v>
      </c>
      <c r="P114" s="19">
        <f t="shared" si="48"/>
        <v>1.2671434581405126E-2</v>
      </c>
      <c r="Q114" s="19">
        <f t="shared" si="49"/>
        <v>0.99240847752997519</v>
      </c>
      <c r="R114" s="19">
        <f t="shared" si="50"/>
        <v>7.6339113656151989E-3</v>
      </c>
      <c r="S114" s="19">
        <f t="shared" si="51"/>
        <v>1.1980146281716684E-2</v>
      </c>
      <c r="T114" s="19">
        <f t="shared" si="52"/>
        <v>0.99473780663369082</v>
      </c>
      <c r="U114" s="91">
        <f t="shared" si="53"/>
        <v>7.6518292817976232E-3</v>
      </c>
      <c r="V114" s="19">
        <f t="shared" si="54"/>
        <v>9.7184915716672596E-3</v>
      </c>
      <c r="W114" s="19">
        <f t="shared" si="55"/>
        <v>8.8406012799523738E-3</v>
      </c>
      <c r="X114" s="19">
        <f t="shared" si="56"/>
        <v>1.2444607911550774E-2</v>
      </c>
      <c r="Y114" s="19">
        <f t="shared" si="57"/>
        <v>0.99604481613152596</v>
      </c>
      <c r="Z114" s="91">
        <f t="shared" si="58"/>
        <v>7.6618832010117346E-3</v>
      </c>
      <c r="AA114" s="19">
        <f t="shared" si="59"/>
        <v>1.0319215302186609E-2</v>
      </c>
      <c r="AB114" s="19">
        <f t="shared" si="60"/>
        <v>1.4793842120116894E-2</v>
      </c>
      <c r="AC114" s="19">
        <f t="shared" si="61"/>
        <v>1.2345679012345682E-2</v>
      </c>
      <c r="AD114" s="19">
        <f t="shared" si="62"/>
        <v>1.1664013077374318E-2</v>
      </c>
      <c r="AE114" s="23">
        <f>('Modelo AHP'!$U$37*aux!P114)+('Modelo AHP'!$U$38*aux!R114)+('Modelo AHP'!$U$39*aux!S114)</f>
        <v>1.1752909280013067E-2</v>
      </c>
      <c r="AF114" s="24">
        <f>aux!U114</f>
        <v>7.6518292817976232E-3</v>
      </c>
      <c r="AG114" s="23">
        <f>('Modelo AHP'!$U$47*aux!V114)+('Modelo AHP'!$U$48*aux!W114)+('Modelo AHP'!$U$49*aux!X114)</f>
        <v>1.0385227901694556E-2</v>
      </c>
      <c r="AH114" s="24">
        <f t="shared" si="63"/>
        <v>7.6618832010117346E-3</v>
      </c>
      <c r="AI114" s="23">
        <f>('Modelo AHP'!$U$56*aux!AA114)+('Modelo AHP'!$U$57*aux!AB114)+('Modelo AHP'!$U$58*aux!AC114)+('Modelo AHP'!$U$59*aux!AD114)</f>
        <v>1.3135695939551337E-2</v>
      </c>
      <c r="AJ114" s="25">
        <f>('Modelo AHP'!$U$23*aux!AE114)+('Modelo AHP'!$U$24*aux!AF114)+('Modelo AHP'!$U$25*aux!AG114)+('Modelo AHP'!$U$26*aux!AH114)+('Modelo AHP'!$U$27*aux!AI114)</f>
        <v>9.7844585275023762E-3</v>
      </c>
    </row>
    <row r="115" spans="1:36">
      <c r="A115" s="248">
        <v>15</v>
      </c>
      <c r="B115" s="14" t="s">
        <v>129</v>
      </c>
      <c r="C115" s="15" t="s">
        <v>133</v>
      </c>
      <c r="D115" s="239">
        <v>12.57</v>
      </c>
      <c r="E115" s="240">
        <v>84.88</v>
      </c>
      <c r="F115" s="239">
        <v>57.654525609411003</v>
      </c>
      <c r="G115" s="241">
        <v>28412.972147409684</v>
      </c>
      <c r="H115" s="240">
        <v>10.24</v>
      </c>
      <c r="I115" s="240">
        <v>12.515000000000001</v>
      </c>
      <c r="J115" s="239">
        <v>6.8197536308873499</v>
      </c>
      <c r="K115" s="116">
        <v>59718.09</v>
      </c>
      <c r="L115" s="112">
        <v>5.0019297568506371E-2</v>
      </c>
      <c r="M115" s="242">
        <v>1625</v>
      </c>
      <c r="N115" s="112">
        <v>6.4000000000000001E-2</v>
      </c>
      <c r="O115" s="112">
        <v>7.1999999999999995E-2</v>
      </c>
      <c r="P115" s="19">
        <f t="shared" si="48"/>
        <v>1.057635675220866E-2</v>
      </c>
      <c r="Q115" s="19">
        <f t="shared" si="49"/>
        <v>0.99236349339587926</v>
      </c>
      <c r="R115" s="19">
        <f t="shared" si="50"/>
        <v>7.6335653338144606E-3</v>
      </c>
      <c r="S115" s="19">
        <f t="shared" si="51"/>
        <v>1.2133367006012082E-2</v>
      </c>
      <c r="T115" s="19">
        <f t="shared" si="52"/>
        <v>0.99478668280137161</v>
      </c>
      <c r="U115" s="91">
        <f t="shared" si="53"/>
        <v>7.6522052523182449E-3</v>
      </c>
      <c r="V115" s="19">
        <f t="shared" si="54"/>
        <v>1.0828874177788111E-2</v>
      </c>
      <c r="W115" s="19">
        <f t="shared" si="55"/>
        <v>1.0643590670380371E-2</v>
      </c>
      <c r="X115" s="19">
        <f t="shared" si="56"/>
        <v>1.2444607911550774E-2</v>
      </c>
      <c r="Y115" s="19">
        <f t="shared" si="57"/>
        <v>0.99546885695631215</v>
      </c>
      <c r="Z115" s="91">
        <f t="shared" si="58"/>
        <v>7.657452745817782E-3</v>
      </c>
      <c r="AA115" s="19">
        <f t="shared" si="59"/>
        <v>1.0319215302186609E-2</v>
      </c>
      <c r="AB115" s="19">
        <f t="shared" si="60"/>
        <v>1.4793842120116894E-2</v>
      </c>
      <c r="AC115" s="19">
        <f t="shared" si="61"/>
        <v>1.2345679012345682E-2</v>
      </c>
      <c r="AD115" s="19">
        <f t="shared" si="62"/>
        <v>1.1664013077374318E-2</v>
      </c>
      <c r="AE115" s="23">
        <f>('Modelo AHP'!$U$37*aux!P115)+('Modelo AHP'!$U$38*aux!R115)+('Modelo AHP'!$U$39*aux!S115)</f>
        <v>1.1216283762651293E-2</v>
      </c>
      <c r="AF115" s="24">
        <f>aux!U115</f>
        <v>7.6522052523182449E-3</v>
      </c>
      <c r="AG115" s="23">
        <f>('Modelo AHP'!$U$47*aux!V115)+('Modelo AHP'!$U$48*aux!W115)+('Modelo AHP'!$U$49*aux!X115)</f>
        <v>1.1372602487213366E-2</v>
      </c>
      <c r="AH115" s="24">
        <f t="shared" si="63"/>
        <v>7.657452745817782E-3</v>
      </c>
      <c r="AI115" s="23">
        <f>('Modelo AHP'!$U$56*aux!AA115)+('Modelo AHP'!$U$57*aux!AB115)+('Modelo AHP'!$U$58*aux!AC115)+('Modelo AHP'!$U$59*aux!AD115)</f>
        <v>1.3135695939551337E-2</v>
      </c>
      <c r="AJ115" s="25">
        <f>('Modelo AHP'!$U$23*aux!AE115)+('Modelo AHP'!$U$24*aux!AF115)+('Modelo AHP'!$U$25*aux!AG115)+('Modelo AHP'!$U$26*aux!AH115)+('Modelo AHP'!$U$27*aux!AI115)</f>
        <v>1.0032103437261549E-2</v>
      </c>
    </row>
    <row r="116" spans="1:36">
      <c r="A116" s="248">
        <v>18</v>
      </c>
      <c r="B116" s="14" t="s">
        <v>134</v>
      </c>
      <c r="C116" s="15" t="s">
        <v>135</v>
      </c>
      <c r="D116" s="239">
        <v>11.52</v>
      </c>
      <c r="E116" s="240">
        <v>85.07</v>
      </c>
      <c r="F116" s="239">
        <v>63.642253136933988</v>
      </c>
      <c r="G116" s="241">
        <v>24526.326754270107</v>
      </c>
      <c r="H116" s="240">
        <v>12.36</v>
      </c>
      <c r="I116" s="240">
        <v>13.25</v>
      </c>
      <c r="J116" s="239">
        <v>5.9143306261461879</v>
      </c>
      <c r="K116" s="116">
        <v>55401.06</v>
      </c>
      <c r="L116" s="112">
        <v>4.665167234999637E-2</v>
      </c>
      <c r="M116" s="242">
        <v>1388</v>
      </c>
      <c r="N116" s="112">
        <v>3.6999999999999998E-2</v>
      </c>
      <c r="O116" s="112">
        <v>5.2999999999999999E-2</v>
      </c>
      <c r="P116" s="19">
        <f t="shared" si="48"/>
        <v>9.6928901977282236E-3</v>
      </c>
      <c r="Q116" s="19">
        <f t="shared" si="49"/>
        <v>0.99234639942492286</v>
      </c>
      <c r="R116" s="19">
        <f t="shared" si="50"/>
        <v>7.6334338417301806E-3</v>
      </c>
      <c r="S116" s="19">
        <f t="shared" si="51"/>
        <v>1.3393481365735106E-2</v>
      </c>
      <c r="T116" s="19">
        <f t="shared" si="52"/>
        <v>0.99549981887062555</v>
      </c>
      <c r="U116" s="91">
        <f t="shared" si="53"/>
        <v>7.6576909143894287E-3</v>
      </c>
      <c r="V116" s="19">
        <f t="shared" si="54"/>
        <v>1.3070789534908306E-2</v>
      </c>
      <c r="W116" s="19">
        <f t="shared" si="55"/>
        <v>1.1268683690174983E-2</v>
      </c>
      <c r="X116" s="19">
        <f t="shared" si="56"/>
        <v>1.0792402436404327E-2</v>
      </c>
      <c r="Y116" s="19">
        <f t="shared" si="57"/>
        <v>0.99579641399060259</v>
      </c>
      <c r="Z116" s="91">
        <f t="shared" si="58"/>
        <v>7.6599724153123246E-3</v>
      </c>
      <c r="AA116" s="19">
        <f t="shared" si="59"/>
        <v>9.6244584508077442E-3</v>
      </c>
      <c r="AB116" s="19">
        <f t="shared" si="60"/>
        <v>1.2636217146290615E-2</v>
      </c>
      <c r="AC116" s="19">
        <f t="shared" si="61"/>
        <v>7.1373456790123462E-3</v>
      </c>
      <c r="AD116" s="19">
        <f t="shared" si="62"/>
        <v>8.5860096264005394E-3</v>
      </c>
      <c r="AE116" s="23">
        <f>('Modelo AHP'!$U$37*aux!P116)+('Modelo AHP'!$U$38*aux!R116)+('Modelo AHP'!$U$39*aux!S116)</f>
        <v>1.1707299262932548E-2</v>
      </c>
      <c r="AF116" s="24">
        <f>aux!U116</f>
        <v>7.6576909143894287E-3</v>
      </c>
      <c r="AG116" s="23">
        <f>('Modelo AHP'!$U$47*aux!V116)+('Modelo AHP'!$U$48*aux!W116)+('Modelo AHP'!$U$49*aux!X116)</f>
        <v>1.1389102221276644E-2</v>
      </c>
      <c r="AH116" s="24">
        <f t="shared" si="63"/>
        <v>7.6599724153123246E-3</v>
      </c>
      <c r="AI116" s="23">
        <f>('Modelo AHP'!$U$56*aux!AA116)+('Modelo AHP'!$U$57*aux!AB116)+('Modelo AHP'!$U$58*aux!AC116)+('Modelo AHP'!$U$59*aux!AD116)</f>
        <v>1.0442936896404364E-2</v>
      </c>
      <c r="AJ116" s="25">
        <f>('Modelo AHP'!$U$23*aux!AE116)+('Modelo AHP'!$U$24*aux!AF116)+('Modelo AHP'!$U$25*aux!AG116)+('Modelo AHP'!$U$26*aux!AH116)+('Modelo AHP'!$U$27*aux!AI116)</f>
        <v>9.8695514165923239E-3</v>
      </c>
    </row>
    <row r="117" spans="1:36">
      <c r="A117" s="248">
        <v>37</v>
      </c>
      <c r="B117" s="14" t="s">
        <v>134</v>
      </c>
      <c r="C117" s="15" t="s">
        <v>136</v>
      </c>
      <c r="D117" s="239">
        <v>3.71</v>
      </c>
      <c r="E117" s="240">
        <v>84.46</v>
      </c>
      <c r="F117" s="239">
        <v>44.427058884890208</v>
      </c>
      <c r="G117" s="241">
        <v>36865.024145685726</v>
      </c>
      <c r="H117" s="240">
        <v>8.99</v>
      </c>
      <c r="I117" s="240">
        <v>10.44</v>
      </c>
      <c r="J117" s="239">
        <v>5.9143306261461879</v>
      </c>
      <c r="K117" s="116">
        <v>57905.06</v>
      </c>
      <c r="L117" s="112">
        <v>4.665167234999637E-2</v>
      </c>
      <c r="M117" s="242">
        <v>1388</v>
      </c>
      <c r="N117" s="112">
        <v>3.6999999999999998E-2</v>
      </c>
      <c r="O117" s="112">
        <v>5.2999999999999999E-2</v>
      </c>
      <c r="P117" s="19">
        <f t="shared" si="48"/>
        <v>3.1215818258308776E-3</v>
      </c>
      <c r="Q117" s="19">
        <f t="shared" si="49"/>
        <v>0.9924012800685198</v>
      </c>
      <c r="R117" s="19">
        <f t="shared" si="50"/>
        <v>7.6338560005270806E-3</v>
      </c>
      <c r="S117" s="19">
        <f t="shared" si="51"/>
        <v>9.3496530367790098E-3</v>
      </c>
      <c r="T117" s="19">
        <f t="shared" si="52"/>
        <v>0.99323586904567907</v>
      </c>
      <c r="U117" s="91">
        <f t="shared" si="53"/>
        <v>7.6402759157359942E-3</v>
      </c>
      <c r="V117" s="19">
        <f t="shared" si="54"/>
        <v>9.5069901228823361E-3</v>
      </c>
      <c r="W117" s="19">
        <f t="shared" si="55"/>
        <v>8.8788722811642875E-3</v>
      </c>
      <c r="X117" s="19">
        <f t="shared" si="56"/>
        <v>1.0792402436404327E-2</v>
      </c>
      <c r="Y117" s="19">
        <f t="shared" si="57"/>
        <v>0.99560642160837143</v>
      </c>
      <c r="Z117" s="91">
        <f t="shared" si="58"/>
        <v>7.6585109354490076E-3</v>
      </c>
      <c r="AA117" s="19">
        <f t="shared" si="59"/>
        <v>9.6244584508077442E-3</v>
      </c>
      <c r="AB117" s="19">
        <f t="shared" si="60"/>
        <v>1.2636217146290615E-2</v>
      </c>
      <c r="AC117" s="19">
        <f t="shared" si="61"/>
        <v>7.1373456790123462E-3</v>
      </c>
      <c r="AD117" s="19">
        <f t="shared" si="62"/>
        <v>8.5860096264005394E-3</v>
      </c>
      <c r="AE117" s="23">
        <f>('Modelo AHP'!$U$37*aux!P117)+('Modelo AHP'!$U$38*aux!R117)+('Modelo AHP'!$U$39*aux!S117)</f>
        <v>7.309651969869377E-3</v>
      </c>
      <c r="AF117" s="24">
        <f>aux!U117</f>
        <v>7.6402759157359942E-3</v>
      </c>
      <c r="AG117" s="23">
        <f>('Modelo AHP'!$U$47*aux!V117)+('Modelo AHP'!$U$48*aux!W117)+('Modelo AHP'!$U$49*aux!X117)</f>
        <v>9.7263958529935392E-3</v>
      </c>
      <c r="AH117" s="24">
        <f t="shared" si="63"/>
        <v>7.6585109354490076E-3</v>
      </c>
      <c r="AI117" s="23">
        <f>('Modelo AHP'!$U$56*aux!AA117)+('Modelo AHP'!$U$57*aux!AB117)+('Modelo AHP'!$U$58*aux!AC117)+('Modelo AHP'!$U$59*aux!AD117)</f>
        <v>1.0442936896404364E-2</v>
      </c>
      <c r="AJ117" s="25">
        <f>('Modelo AHP'!$U$23*aux!AE117)+('Modelo AHP'!$U$24*aux!AF117)+('Modelo AHP'!$U$25*aux!AG117)+('Modelo AHP'!$U$26*aux!AH117)+('Modelo AHP'!$U$27*aux!AI117)</f>
        <v>8.5617325013546183E-3</v>
      </c>
    </row>
    <row r="118" spans="1:36">
      <c r="A118" s="248">
        <v>50</v>
      </c>
      <c r="B118" s="14" t="s">
        <v>134</v>
      </c>
      <c r="C118" s="15" t="s">
        <v>327</v>
      </c>
      <c r="D118" s="239">
        <v>6.37</v>
      </c>
      <c r="E118" s="240">
        <v>84.76</v>
      </c>
      <c r="F118" s="239">
        <v>27.872460851518774</v>
      </c>
      <c r="G118" s="241">
        <v>33052.509383268851</v>
      </c>
      <c r="H118" s="240">
        <v>6.98</v>
      </c>
      <c r="I118" s="240">
        <v>9.0350000000000001</v>
      </c>
      <c r="J118" s="239">
        <v>5.9143306261461879</v>
      </c>
      <c r="K118" s="116">
        <v>70851.539999999994</v>
      </c>
      <c r="L118" s="112">
        <v>4.665167234999637E-2</v>
      </c>
      <c r="M118" s="242">
        <v>1388</v>
      </c>
      <c r="N118" s="112">
        <v>3.6999999999999998E-2</v>
      </c>
      <c r="O118" s="112">
        <v>5.2999999999999999E-2</v>
      </c>
      <c r="P118" s="19">
        <f t="shared" si="48"/>
        <v>5.3596970971813178E-3</v>
      </c>
      <c r="Q118" s="19">
        <f t="shared" si="49"/>
        <v>0.99237428958806229</v>
      </c>
      <c r="R118" s="19">
        <f t="shared" si="50"/>
        <v>7.633648381446638E-3</v>
      </c>
      <c r="S118" s="19">
        <f t="shared" si="51"/>
        <v>5.8657458941432823E-3</v>
      </c>
      <c r="T118" s="19">
        <f t="shared" si="52"/>
        <v>0.99393540335267849</v>
      </c>
      <c r="U118" s="91">
        <f t="shared" si="53"/>
        <v>7.6456569488667593E-3</v>
      </c>
      <c r="V118" s="19">
        <f t="shared" si="54"/>
        <v>7.3814005625938497E-3</v>
      </c>
      <c r="W118" s="19">
        <f t="shared" si="55"/>
        <v>7.6839665766589415E-3</v>
      </c>
      <c r="X118" s="19">
        <f t="shared" si="56"/>
        <v>1.0792402436404327E-2</v>
      </c>
      <c r="Y118" s="19">
        <f t="shared" si="57"/>
        <v>0.99462410029179471</v>
      </c>
      <c r="Z118" s="91">
        <f t="shared" si="58"/>
        <v>7.6509546176291871E-3</v>
      </c>
      <c r="AA118" s="19">
        <f t="shared" si="59"/>
        <v>9.6244584508077442E-3</v>
      </c>
      <c r="AB118" s="19">
        <f t="shared" si="60"/>
        <v>1.2636217146290615E-2</v>
      </c>
      <c r="AC118" s="19">
        <f t="shared" si="61"/>
        <v>7.1373456790123462E-3</v>
      </c>
      <c r="AD118" s="19">
        <f t="shared" si="62"/>
        <v>8.5860096264005394E-3</v>
      </c>
      <c r="AE118" s="23">
        <f>('Modelo AHP'!$U$37*aux!P118)+('Modelo AHP'!$U$38*aux!R118)+('Modelo AHP'!$U$39*aux!S118)</f>
        <v>5.8907215037850283E-3</v>
      </c>
      <c r="AF118" s="24">
        <f>aux!U118</f>
        <v>7.6456569488667593E-3</v>
      </c>
      <c r="AG118" s="23">
        <f>('Modelo AHP'!$U$47*aux!V118)+('Modelo AHP'!$U$48*aux!W118)+('Modelo AHP'!$U$49*aux!X118)</f>
        <v>8.8368903887494545E-3</v>
      </c>
      <c r="AH118" s="24">
        <f t="shared" si="63"/>
        <v>7.6509546176291871E-3</v>
      </c>
      <c r="AI118" s="23">
        <f>('Modelo AHP'!$U$56*aux!AA118)+('Modelo AHP'!$U$57*aux!AB118)+('Modelo AHP'!$U$58*aux!AC118)+('Modelo AHP'!$U$59*aux!AD118)</f>
        <v>1.0442936896404364E-2</v>
      </c>
      <c r="AJ118" s="25">
        <f>('Modelo AHP'!$U$23*aux!AE118)+('Modelo AHP'!$U$24*aux!AF118)+('Modelo AHP'!$U$25*aux!AG118)+('Modelo AHP'!$U$26*aux!AH118)+('Modelo AHP'!$U$27*aux!AI118)</f>
        <v>8.0221356216718682E-3</v>
      </c>
    </row>
    <row r="119" spans="1:36">
      <c r="A119" s="248">
        <v>24</v>
      </c>
      <c r="B119" s="14" t="s">
        <v>137</v>
      </c>
      <c r="C119" s="15" t="s">
        <v>138</v>
      </c>
      <c r="D119" s="239">
        <v>10.88</v>
      </c>
      <c r="E119" s="240">
        <v>85.72</v>
      </c>
      <c r="F119" s="239">
        <v>64.625311297260581</v>
      </c>
      <c r="G119" s="241">
        <v>24577.580752362242</v>
      </c>
      <c r="H119" s="240">
        <v>10.83</v>
      </c>
      <c r="I119" s="240">
        <v>12.19</v>
      </c>
      <c r="J119" s="239">
        <v>5.7942098619650642</v>
      </c>
      <c r="K119" s="116">
        <v>54056.86</v>
      </c>
      <c r="L119" s="112">
        <v>6.2643898695318501E-2</v>
      </c>
      <c r="M119" s="242">
        <v>715</v>
      </c>
      <c r="N119" s="112">
        <v>6.2E-2</v>
      </c>
      <c r="O119" s="112">
        <v>7.0000000000000007E-2</v>
      </c>
      <c r="P119" s="19">
        <f t="shared" si="48"/>
        <v>9.1543962978544342E-3</v>
      </c>
      <c r="Q119" s="19">
        <f t="shared" si="49"/>
        <v>0.99228792005059818</v>
      </c>
      <c r="R119" s="19">
        <f t="shared" si="50"/>
        <v>7.6329840003892214E-3</v>
      </c>
      <c r="S119" s="19">
        <f t="shared" si="51"/>
        <v>1.3600365479712634E-2</v>
      </c>
      <c r="T119" s="19">
        <f t="shared" si="52"/>
        <v>0.99549041459752219</v>
      </c>
      <c r="U119" s="91">
        <f t="shared" si="53"/>
        <v>7.6576185738270958E-3</v>
      </c>
      <c r="V119" s="19">
        <f t="shared" si="54"/>
        <v>1.1452803451703637E-2</v>
      </c>
      <c r="W119" s="19">
        <f t="shared" si="55"/>
        <v>1.0367188994960985E-2</v>
      </c>
      <c r="X119" s="19">
        <f t="shared" si="56"/>
        <v>1.057320744884648E-2</v>
      </c>
      <c r="Y119" s="19">
        <f t="shared" si="57"/>
        <v>0.99589840590761347</v>
      </c>
      <c r="Z119" s="91">
        <f t="shared" si="58"/>
        <v>7.6607569685201004E-3</v>
      </c>
      <c r="AA119" s="19">
        <f t="shared" si="59"/>
        <v>1.2923729628949717E-2</v>
      </c>
      <c r="AB119" s="19">
        <f t="shared" si="60"/>
        <v>6.5092905328514332E-3</v>
      </c>
      <c r="AC119" s="19">
        <f t="shared" si="61"/>
        <v>1.1959876543209878E-2</v>
      </c>
      <c r="AD119" s="19">
        <f t="shared" si="62"/>
        <v>1.1340012714113923E-2</v>
      </c>
      <c r="AE119" s="23">
        <f>('Modelo AHP'!$U$37*aux!P119)+('Modelo AHP'!$U$38*aux!R119)+('Modelo AHP'!$U$39*aux!S119)</f>
        <v>1.1669836577222831E-2</v>
      </c>
      <c r="AF119" s="24">
        <f>aux!U119</f>
        <v>7.6576185738270958E-3</v>
      </c>
      <c r="AG119" s="23">
        <f>('Modelo AHP'!$U$47*aux!V119)+('Modelo AHP'!$U$48*aux!W119)+('Modelo AHP'!$U$49*aux!X119)</f>
        <v>1.063068040135455E-2</v>
      </c>
      <c r="AH119" s="24">
        <f t="shared" si="63"/>
        <v>7.6607569685201004E-3</v>
      </c>
      <c r="AI119" s="23">
        <f>('Modelo AHP'!$U$56*aux!AA119)+('Modelo AHP'!$U$57*aux!AB119)+('Modelo AHP'!$U$58*aux!AC119)+('Modelo AHP'!$U$59*aux!AD119)</f>
        <v>9.349748942634975E-3</v>
      </c>
      <c r="AJ119" s="25">
        <f>('Modelo AHP'!$U$23*aux!AE119)+('Modelo AHP'!$U$24*aux!AF119)+('Modelo AHP'!$U$25*aux!AG119)+('Modelo AHP'!$U$26*aux!AH119)+('Modelo AHP'!$U$27*aux!AI119)</f>
        <v>9.5018199874819069E-3</v>
      </c>
    </row>
    <row r="120" spans="1:36">
      <c r="A120" s="248">
        <v>48</v>
      </c>
      <c r="B120" s="14" t="s">
        <v>137</v>
      </c>
      <c r="C120" s="15" t="s">
        <v>328</v>
      </c>
      <c r="D120" s="239">
        <v>3.99</v>
      </c>
      <c r="E120" s="240">
        <v>83.88</v>
      </c>
      <c r="F120" s="239">
        <v>34.775563117809106</v>
      </c>
      <c r="G120" s="241">
        <v>39388.657380949902</v>
      </c>
      <c r="H120" s="240">
        <v>9.4600000000000009</v>
      </c>
      <c r="I120" s="240">
        <v>9.61</v>
      </c>
      <c r="J120" s="239">
        <v>5.7942098619650642</v>
      </c>
      <c r="K120" s="116">
        <v>61768.78</v>
      </c>
      <c r="L120" s="112">
        <v>6.2643898695318501E-2</v>
      </c>
      <c r="M120" s="242">
        <v>715</v>
      </c>
      <c r="N120" s="112">
        <v>6.2E-2</v>
      </c>
      <c r="O120" s="112">
        <v>7.0000000000000007E-2</v>
      </c>
      <c r="P120" s="19">
        <f t="shared" si="48"/>
        <v>3.357172907025661E-3</v>
      </c>
      <c r="Q120" s="19">
        <f t="shared" si="49"/>
        <v>0.99245346166407111</v>
      </c>
      <c r="R120" s="19">
        <f t="shared" si="50"/>
        <v>7.6342573974159363E-3</v>
      </c>
      <c r="S120" s="19">
        <f t="shared" si="51"/>
        <v>7.3185004245398082E-3</v>
      </c>
      <c r="T120" s="19">
        <f t="shared" si="52"/>
        <v>0.99277282348746798</v>
      </c>
      <c r="U120" s="91">
        <f t="shared" si="53"/>
        <v>7.6367140268266782E-3</v>
      </c>
      <c r="V120" s="19">
        <f t="shared" si="54"/>
        <v>1.0004018527526909E-2</v>
      </c>
      <c r="W120" s="19">
        <f t="shared" si="55"/>
        <v>8.1729849254778553E-3</v>
      </c>
      <c r="X120" s="19">
        <f t="shared" si="56"/>
        <v>1.057320744884648E-2</v>
      </c>
      <c r="Y120" s="19">
        <f t="shared" si="57"/>
        <v>0.99531325972056228</v>
      </c>
      <c r="Z120" s="91">
        <f t="shared" si="58"/>
        <v>7.656255844004322E-3</v>
      </c>
      <c r="AA120" s="19">
        <f t="shared" si="59"/>
        <v>1.2923729628949717E-2</v>
      </c>
      <c r="AB120" s="19">
        <f t="shared" si="60"/>
        <v>6.5092905328514332E-3</v>
      </c>
      <c r="AC120" s="19">
        <f t="shared" si="61"/>
        <v>1.1959876543209878E-2</v>
      </c>
      <c r="AD120" s="19">
        <f t="shared" si="62"/>
        <v>1.1340012714113923E-2</v>
      </c>
      <c r="AE120" s="23">
        <f>('Modelo AHP'!$U$37*aux!P120)+('Modelo AHP'!$U$38*aux!R120)+('Modelo AHP'!$U$39*aux!S120)</f>
        <v>6.1616778665731769E-3</v>
      </c>
      <c r="AF120" s="24">
        <f>aux!U120</f>
        <v>7.6367140268266782E-3</v>
      </c>
      <c r="AG120" s="23">
        <f>('Modelo AHP'!$U$47*aux!V120)+('Modelo AHP'!$U$48*aux!W120)+('Modelo AHP'!$U$49*aux!X120)</f>
        <v>9.4125722076106345E-3</v>
      </c>
      <c r="AH120" s="24">
        <f t="shared" si="63"/>
        <v>7.656255844004322E-3</v>
      </c>
      <c r="AI120" s="23">
        <f>('Modelo AHP'!$U$56*aux!AA120)+('Modelo AHP'!$U$57*aux!AB120)+('Modelo AHP'!$U$58*aux!AC120)+('Modelo AHP'!$U$59*aux!AD120)</f>
        <v>9.349748942634975E-3</v>
      </c>
      <c r="AJ120" s="25">
        <f>('Modelo AHP'!$U$23*aux!AE120)+('Modelo AHP'!$U$24*aux!AF120)+('Modelo AHP'!$U$25*aux!AG120)+('Modelo AHP'!$U$26*aux!AH120)+('Modelo AHP'!$U$27*aux!AI120)</f>
        <v>8.1592498347564085E-3</v>
      </c>
    </row>
    <row r="121" spans="1:36">
      <c r="A121" s="248">
        <v>75</v>
      </c>
      <c r="B121" s="14" t="s">
        <v>137</v>
      </c>
      <c r="C121" s="15" t="s">
        <v>329</v>
      </c>
      <c r="D121" s="239">
        <v>1.8</v>
      </c>
      <c r="E121" s="240">
        <v>84.8</v>
      </c>
      <c r="F121" s="239">
        <v>23.127373144632379</v>
      </c>
      <c r="G121" s="241">
        <v>40053.400582349939</v>
      </c>
      <c r="H121" s="240">
        <v>5.64</v>
      </c>
      <c r="I121" s="240">
        <v>6.0049999999999999</v>
      </c>
      <c r="J121" s="239">
        <v>5.7942098619650642</v>
      </c>
      <c r="K121" s="116">
        <v>77033.42</v>
      </c>
      <c r="L121" s="112">
        <v>6.2643898695318501E-2</v>
      </c>
      <c r="M121" s="242">
        <v>715</v>
      </c>
      <c r="N121" s="112">
        <v>6.2E-2</v>
      </c>
      <c r="O121" s="112">
        <v>7.0000000000000007E-2</v>
      </c>
      <c r="P121" s="19">
        <f t="shared" si="48"/>
        <v>1.514514093395035E-3</v>
      </c>
      <c r="Q121" s="19">
        <f t="shared" si="49"/>
        <v>0.99237069085733465</v>
      </c>
      <c r="R121" s="19">
        <f t="shared" si="50"/>
        <v>7.6336206989025789E-3</v>
      </c>
      <c r="S121" s="19">
        <f t="shared" si="51"/>
        <v>4.867144483155849E-3</v>
      </c>
      <c r="T121" s="19">
        <f t="shared" si="52"/>
        <v>0.99265085394670505</v>
      </c>
      <c r="U121" s="91">
        <f t="shared" si="53"/>
        <v>7.6357757995900409E-3</v>
      </c>
      <c r="V121" s="19">
        <f t="shared" si="54"/>
        <v>5.9643408557348582E-3</v>
      </c>
      <c r="W121" s="19">
        <f t="shared" si="55"/>
        <v>5.1070524950566623E-3</v>
      </c>
      <c r="X121" s="19">
        <f t="shared" si="56"/>
        <v>1.057320744884648E-2</v>
      </c>
      <c r="Y121" s="19">
        <f t="shared" si="57"/>
        <v>0.99415504673433985</v>
      </c>
      <c r="Z121" s="91">
        <f t="shared" si="58"/>
        <v>7.6473465133410721E-3</v>
      </c>
      <c r="AA121" s="19">
        <f t="shared" si="59"/>
        <v>1.2923729628949717E-2</v>
      </c>
      <c r="AB121" s="19">
        <f t="shared" si="60"/>
        <v>6.5092905328514332E-3</v>
      </c>
      <c r="AC121" s="19">
        <f t="shared" si="61"/>
        <v>1.1959876543209878E-2</v>
      </c>
      <c r="AD121" s="19">
        <f t="shared" si="62"/>
        <v>1.1340012714113923E-2</v>
      </c>
      <c r="AE121" s="23">
        <f>('Modelo AHP'!$U$37*aux!P121)+('Modelo AHP'!$U$38*aux!R121)+('Modelo AHP'!$U$39*aux!S121)</f>
        <v>4.1380029878022775E-3</v>
      </c>
      <c r="AF121" s="24">
        <f>aux!U121</f>
        <v>7.6357757995900409E-3</v>
      </c>
      <c r="AG121" s="23">
        <f>('Modelo AHP'!$U$47*aux!V121)+('Modelo AHP'!$U$48*aux!W121)+('Modelo AHP'!$U$49*aux!X121)</f>
        <v>7.3695355520479178E-3</v>
      </c>
      <c r="AH121" s="24">
        <f t="shared" si="63"/>
        <v>7.6473465133410721E-3</v>
      </c>
      <c r="AI121" s="23">
        <f>('Modelo AHP'!$U$56*aux!AA121)+('Modelo AHP'!$U$57*aux!AB121)+('Modelo AHP'!$U$58*aux!AC121)+('Modelo AHP'!$U$59*aux!AD121)</f>
        <v>9.349748942634975E-3</v>
      </c>
      <c r="AJ121" s="25">
        <f>('Modelo AHP'!$U$23*aux!AE121)+('Modelo AHP'!$U$24*aux!AF121)+('Modelo AHP'!$U$25*aux!AG121)+('Modelo AHP'!$U$26*aux!AH121)+('Modelo AHP'!$U$27*aux!AI121)</f>
        <v>7.1223985424912883E-3</v>
      </c>
    </row>
    <row r="122" spans="1:36">
      <c r="A122" s="248">
        <v>57</v>
      </c>
      <c r="B122" s="14" t="s">
        <v>137</v>
      </c>
      <c r="C122" s="15" t="s">
        <v>330</v>
      </c>
      <c r="D122" s="239">
        <v>4.38</v>
      </c>
      <c r="E122" s="240">
        <v>84.8</v>
      </c>
      <c r="F122" s="239">
        <v>31.926605504587155</v>
      </c>
      <c r="G122" s="241">
        <v>19674</v>
      </c>
      <c r="H122" s="240">
        <v>5.32</v>
      </c>
      <c r="I122" s="240">
        <v>7.6300000000000008</v>
      </c>
      <c r="J122" s="239">
        <v>5.7942098619650642</v>
      </c>
      <c r="K122" s="116">
        <v>92644.68</v>
      </c>
      <c r="L122" s="112">
        <v>6.2643898695318501E-2</v>
      </c>
      <c r="M122" s="242">
        <v>715</v>
      </c>
      <c r="N122" s="112">
        <v>6.2E-2</v>
      </c>
      <c r="O122" s="112">
        <v>7.0000000000000007E-2</v>
      </c>
      <c r="P122" s="19">
        <f t="shared" si="48"/>
        <v>3.6853176272612516E-3</v>
      </c>
      <c r="Q122" s="19">
        <f t="shared" si="49"/>
        <v>0.99237069085733465</v>
      </c>
      <c r="R122" s="19">
        <f t="shared" si="50"/>
        <v>7.6336206989025789E-3</v>
      </c>
      <c r="S122" s="19">
        <f t="shared" si="51"/>
        <v>6.7189386739154701E-3</v>
      </c>
      <c r="T122" s="19">
        <f t="shared" si="52"/>
        <v>0.99639014172703633</v>
      </c>
      <c r="U122" s="91">
        <f t="shared" si="53"/>
        <v>7.6645395517464347E-3</v>
      </c>
      <c r="V122" s="19">
        <f t="shared" si="54"/>
        <v>5.6259385376789799E-3</v>
      </c>
      <c r="W122" s="19">
        <f t="shared" si="55"/>
        <v>6.4890608721535946E-3</v>
      </c>
      <c r="X122" s="19">
        <f t="shared" si="56"/>
        <v>1.057320744884648E-2</v>
      </c>
      <c r="Y122" s="19">
        <f t="shared" si="57"/>
        <v>0.99297053376428002</v>
      </c>
      <c r="Z122" s="91">
        <f t="shared" si="58"/>
        <v>7.6382348751098429E-3</v>
      </c>
      <c r="AA122" s="19">
        <f t="shared" si="59"/>
        <v>1.2923729628949717E-2</v>
      </c>
      <c r="AB122" s="19">
        <f t="shared" si="60"/>
        <v>6.5092905328514332E-3</v>
      </c>
      <c r="AC122" s="19">
        <f t="shared" si="61"/>
        <v>1.1959876543209878E-2</v>
      </c>
      <c r="AD122" s="19">
        <f t="shared" si="62"/>
        <v>1.1340012714113923E-2</v>
      </c>
      <c r="AE122" s="23">
        <f>('Modelo AHP'!$U$37*aux!P122)+('Modelo AHP'!$U$38*aux!R122)+('Modelo AHP'!$U$39*aux!S122)</f>
        <v>5.9003205624179149E-3</v>
      </c>
      <c r="AF122" s="24">
        <f>aux!U122</f>
        <v>7.6645395517464347E-3</v>
      </c>
      <c r="AG122" s="23">
        <f>('Modelo AHP'!$U$47*aux!V122)+('Modelo AHP'!$U$48*aux!W122)+('Modelo AHP'!$U$49*aux!X122)</f>
        <v>7.9251006728470793E-3</v>
      </c>
      <c r="AH122" s="24">
        <f t="shared" si="63"/>
        <v>7.6382348751098429E-3</v>
      </c>
      <c r="AI122" s="23">
        <f>('Modelo AHP'!$U$56*aux!AA122)+('Modelo AHP'!$U$57*aux!AB122)+('Modelo AHP'!$U$58*aux!AC122)+('Modelo AHP'!$U$59*aux!AD122)</f>
        <v>9.349748942634975E-3</v>
      </c>
      <c r="AJ122" s="25">
        <f>('Modelo AHP'!$U$23*aux!AE122)+('Modelo AHP'!$U$24*aux!AF122)+('Modelo AHP'!$U$25*aux!AG122)+('Modelo AHP'!$U$26*aux!AH122)+('Modelo AHP'!$U$27*aux!AI122)</f>
        <v>7.6149486892543167E-3</v>
      </c>
    </row>
    <row r="123" spans="1:36">
      <c r="A123" s="248">
        <v>38</v>
      </c>
      <c r="B123" s="14" t="s">
        <v>139</v>
      </c>
      <c r="C123" s="15" t="s">
        <v>140</v>
      </c>
      <c r="D123" s="239">
        <v>11.67</v>
      </c>
      <c r="E123" s="240">
        <v>83.04</v>
      </c>
      <c r="F123" s="239">
        <v>47.572953064500901</v>
      </c>
      <c r="G123" s="241">
        <v>22504.157388643031</v>
      </c>
      <c r="H123" s="240">
        <v>8.44</v>
      </c>
      <c r="I123" s="240">
        <v>10.574999999999999</v>
      </c>
      <c r="J123" s="239">
        <v>4.4781942315730809</v>
      </c>
      <c r="K123" s="116">
        <v>67328.100000000006</v>
      </c>
      <c r="L123" s="112">
        <v>4.7936085219707054E-2</v>
      </c>
      <c r="M123" s="242">
        <v>826</v>
      </c>
      <c r="N123" s="112">
        <v>6.3E-2</v>
      </c>
      <c r="O123" s="112">
        <v>6.9000000000000006E-2</v>
      </c>
      <c r="P123" s="19">
        <f t="shared" si="48"/>
        <v>9.8190997055111421E-3</v>
      </c>
      <c r="Q123" s="19">
        <f t="shared" si="49"/>
        <v>0.99252903500935219</v>
      </c>
      <c r="R123" s="19">
        <f t="shared" si="50"/>
        <v>7.6348387308411755E-3</v>
      </c>
      <c r="S123" s="19">
        <f t="shared" si="51"/>
        <v>1.0011704944063513E-2</v>
      </c>
      <c r="T123" s="19">
        <f t="shared" si="52"/>
        <v>0.99587085398366015</v>
      </c>
      <c r="U123" s="91">
        <f t="shared" si="53"/>
        <v>7.660545030643541E-3</v>
      </c>
      <c r="V123" s="19">
        <f t="shared" si="54"/>
        <v>8.9253611387237943E-3</v>
      </c>
      <c r="W123" s="19">
        <f t="shared" si="55"/>
        <v>8.9936852848000338E-3</v>
      </c>
      <c r="X123" s="19">
        <f t="shared" si="56"/>
        <v>8.1717572774610905E-3</v>
      </c>
      <c r="Y123" s="19">
        <f t="shared" si="57"/>
        <v>0.99489144324676626</v>
      </c>
      <c r="Z123" s="91">
        <f t="shared" si="58"/>
        <v>7.6530111018981986E-3</v>
      </c>
      <c r="AA123" s="19">
        <f t="shared" si="59"/>
        <v>9.8894388400523371E-3</v>
      </c>
      <c r="AB123" s="19">
        <f t="shared" si="60"/>
        <v>7.5198237484409569E-3</v>
      </c>
      <c r="AC123" s="19">
        <f t="shared" si="61"/>
        <v>1.215277777777778E-2</v>
      </c>
      <c r="AD123" s="19">
        <f t="shared" si="62"/>
        <v>1.1178012532483723E-2</v>
      </c>
      <c r="AE123" s="23">
        <f>('Modelo AHP'!$U$37*aux!P123)+('Modelo AHP'!$U$38*aux!R123)+('Modelo AHP'!$U$39*aux!S123)</f>
        <v>9.7162367511755676E-3</v>
      </c>
      <c r="AF123" s="24">
        <f>aux!U123</f>
        <v>7.660545030643541E-3</v>
      </c>
      <c r="AG123" s="23">
        <f>('Modelo AHP'!$U$47*aux!V123)+('Modelo AHP'!$U$48*aux!W123)+('Modelo AHP'!$U$49*aux!X123)</f>
        <v>8.6637337641830309E-3</v>
      </c>
      <c r="AH123" s="24">
        <f t="shared" si="63"/>
        <v>7.6530111018981986E-3</v>
      </c>
      <c r="AI123" s="23">
        <f>('Modelo AHP'!$U$56*aux!AA123)+('Modelo AHP'!$U$57*aux!AB123)+('Modelo AHP'!$U$58*aux!AC123)+('Modelo AHP'!$U$59*aux!AD123)</f>
        <v>9.3708301711294059E-3</v>
      </c>
      <c r="AJ123" s="25">
        <f>('Modelo AHP'!$U$23*aux!AE123)+('Modelo AHP'!$U$24*aux!AF123)+('Modelo AHP'!$U$25*aux!AG123)+('Modelo AHP'!$U$26*aux!AH123)+('Modelo AHP'!$U$27*aux!AI123)</f>
        <v>8.5059729373153301E-3</v>
      </c>
    </row>
    <row r="124" spans="1:36">
      <c r="A124" s="248">
        <v>27</v>
      </c>
      <c r="B124" s="14" t="s">
        <v>139</v>
      </c>
      <c r="C124" s="15" t="s">
        <v>141</v>
      </c>
      <c r="D124" s="239">
        <v>9.3699999999999992</v>
      </c>
      <c r="E124" s="240">
        <v>83.14</v>
      </c>
      <c r="F124" s="239">
        <v>63.775721585416377</v>
      </c>
      <c r="G124" s="241">
        <v>24038.535971865767</v>
      </c>
      <c r="H124" s="240">
        <v>11.65</v>
      </c>
      <c r="I124" s="240">
        <v>14.07</v>
      </c>
      <c r="J124" s="239">
        <v>4.4781942315730809</v>
      </c>
      <c r="K124" s="116">
        <v>62989.93</v>
      </c>
      <c r="L124" s="112">
        <v>4.7936085219707054E-2</v>
      </c>
      <c r="M124" s="242">
        <v>826</v>
      </c>
      <c r="N124" s="112">
        <v>6.3E-2</v>
      </c>
      <c r="O124" s="112">
        <v>6.9000000000000006E-2</v>
      </c>
      <c r="P124" s="19">
        <f t="shared" si="48"/>
        <v>7.8838872528397084E-3</v>
      </c>
      <c r="Q124" s="19">
        <f t="shared" si="49"/>
        <v>0.99252003818253298</v>
      </c>
      <c r="R124" s="19">
        <f t="shared" si="50"/>
        <v>7.6347695244810276E-3</v>
      </c>
      <c r="S124" s="19">
        <f t="shared" si="51"/>
        <v>1.3421569736110936E-2</v>
      </c>
      <c r="T124" s="19">
        <f t="shared" si="52"/>
        <v>0.99558932052719451</v>
      </c>
      <c r="U124" s="91">
        <f t="shared" si="53"/>
        <v>7.6583793886707283E-3</v>
      </c>
      <c r="V124" s="19">
        <f t="shared" si="54"/>
        <v>1.2319959391721827E-2</v>
      </c>
      <c r="W124" s="19">
        <f t="shared" si="55"/>
        <v>1.1966066378925435E-2</v>
      </c>
      <c r="X124" s="19">
        <f t="shared" si="56"/>
        <v>8.1717572774610905E-3</v>
      </c>
      <c r="Y124" s="19">
        <f t="shared" si="57"/>
        <v>0.99522060429022619</v>
      </c>
      <c r="Z124" s="91">
        <f t="shared" si="58"/>
        <v>7.6555431099248131E-3</v>
      </c>
      <c r="AA124" s="19">
        <f t="shared" si="59"/>
        <v>9.8894388400523371E-3</v>
      </c>
      <c r="AB124" s="19">
        <f t="shared" si="60"/>
        <v>7.5198237484409569E-3</v>
      </c>
      <c r="AC124" s="19">
        <f t="shared" si="61"/>
        <v>1.215277777777778E-2</v>
      </c>
      <c r="AD124" s="19">
        <f t="shared" si="62"/>
        <v>1.1178012532483723E-2</v>
      </c>
      <c r="AE124" s="23">
        <f>('Modelo AHP'!$U$37*aux!P124)+('Modelo AHP'!$U$38*aux!R124)+('Modelo AHP'!$U$39*aux!S124)</f>
        <v>1.1181584969966575E-2</v>
      </c>
      <c r="AF124" s="24">
        <f>aux!U124</f>
        <v>7.6583793886707283E-3</v>
      </c>
      <c r="AG124" s="23">
        <f>('Modelo AHP'!$U$47*aux!V124)+('Modelo AHP'!$U$48*aux!W124)+('Modelo AHP'!$U$49*aux!X124)</f>
        <v>1.0556139677062079E-2</v>
      </c>
      <c r="AH124" s="24">
        <f t="shared" si="63"/>
        <v>7.6555431099248131E-3</v>
      </c>
      <c r="AI124" s="23">
        <f>('Modelo AHP'!$U$56*aux!AA124)+('Modelo AHP'!$U$57*aux!AB124)+('Modelo AHP'!$U$58*aux!AC124)+('Modelo AHP'!$U$59*aux!AD124)</f>
        <v>9.3708301711294059E-3</v>
      </c>
      <c r="AJ124" s="25">
        <f>('Modelo AHP'!$U$23*aux!AE124)+('Modelo AHP'!$U$24*aux!AF124)+('Modelo AHP'!$U$25*aux!AG124)+('Modelo AHP'!$U$26*aux!AH124)+('Modelo AHP'!$U$27*aux!AI124)</f>
        <v>9.3966928813360509E-3</v>
      </c>
    </row>
    <row r="125" spans="1:36">
      <c r="A125" s="248">
        <v>19</v>
      </c>
      <c r="B125" s="14" t="s">
        <v>139</v>
      </c>
      <c r="C125" s="15" t="s">
        <v>142</v>
      </c>
      <c r="D125" s="239">
        <v>12.49</v>
      </c>
      <c r="E125" s="240">
        <v>82.14</v>
      </c>
      <c r="F125" s="239">
        <v>67.681137030743088</v>
      </c>
      <c r="G125" s="241">
        <v>21961.534343840489</v>
      </c>
      <c r="H125" s="240">
        <v>13.08</v>
      </c>
      <c r="I125" s="240">
        <v>14.82</v>
      </c>
      <c r="J125" s="239">
        <v>4.4781942315730809</v>
      </c>
      <c r="K125" s="116">
        <v>46895.42</v>
      </c>
      <c r="L125" s="112">
        <v>4.7936085219707054E-2</v>
      </c>
      <c r="M125" s="242">
        <v>826</v>
      </c>
      <c r="N125" s="112">
        <v>6.3E-2</v>
      </c>
      <c r="O125" s="112">
        <v>6.9000000000000006E-2</v>
      </c>
      <c r="P125" s="19">
        <f t="shared" si="48"/>
        <v>1.0509045014724437E-2</v>
      </c>
      <c r="Q125" s="19">
        <f t="shared" si="49"/>
        <v>0.99261000645072484</v>
      </c>
      <c r="R125" s="19">
        <f t="shared" si="50"/>
        <v>7.6354615880825033E-3</v>
      </c>
      <c r="S125" s="19">
        <f t="shared" si="51"/>
        <v>1.4243462526108365E-2</v>
      </c>
      <c r="T125" s="19">
        <f t="shared" si="52"/>
        <v>0.99597041646649942</v>
      </c>
      <c r="U125" s="91">
        <f t="shared" si="53"/>
        <v>7.6613108958961508E-3</v>
      </c>
      <c r="V125" s="19">
        <f t="shared" si="54"/>
        <v>1.3832194750534033E-2</v>
      </c>
      <c r="W125" s="19">
        <f t="shared" si="55"/>
        <v>1.2603916399124018E-2</v>
      </c>
      <c r="X125" s="19">
        <f t="shared" si="56"/>
        <v>8.1717572774610905E-3</v>
      </c>
      <c r="Y125" s="19">
        <f t="shared" si="57"/>
        <v>0.99644178412079454</v>
      </c>
      <c r="Z125" s="91">
        <f t="shared" si="58"/>
        <v>7.6649368009291856E-3</v>
      </c>
      <c r="AA125" s="19">
        <f t="shared" si="59"/>
        <v>9.8894388400523371E-3</v>
      </c>
      <c r="AB125" s="19">
        <f t="shared" si="60"/>
        <v>7.5198237484409569E-3</v>
      </c>
      <c r="AC125" s="19">
        <f t="shared" si="61"/>
        <v>1.215277777777778E-2</v>
      </c>
      <c r="AD125" s="19">
        <f t="shared" si="62"/>
        <v>1.1178012532483723E-2</v>
      </c>
      <c r="AE125" s="23">
        <f>('Modelo AHP'!$U$37*aux!P125)+('Modelo AHP'!$U$38*aux!R125)+('Modelo AHP'!$U$39*aux!S125)</f>
        <v>1.2462337178890601E-2</v>
      </c>
      <c r="AF125" s="24">
        <f>aux!U125</f>
        <v>7.6613108958961508E-3</v>
      </c>
      <c r="AG125" s="23">
        <f>('Modelo AHP'!$U$47*aux!V125)+('Modelo AHP'!$U$48*aux!W125)+('Modelo AHP'!$U$49*aux!X125)</f>
        <v>1.1094850978946405E-2</v>
      </c>
      <c r="AH125" s="24">
        <f t="shared" si="63"/>
        <v>7.6649368009291856E-3</v>
      </c>
      <c r="AI125" s="23">
        <f>('Modelo AHP'!$U$56*aux!AA125)+('Modelo AHP'!$U$57*aux!AB125)+('Modelo AHP'!$U$58*aux!AC125)+('Modelo AHP'!$U$59*aux!AD125)</f>
        <v>9.3708301711294059E-3</v>
      </c>
      <c r="AJ125" s="25">
        <f>('Modelo AHP'!$U$23*aux!AE125)+('Modelo AHP'!$U$24*aux!AF125)+('Modelo AHP'!$U$25*aux!AG125)+('Modelo AHP'!$U$26*aux!AH125)+('Modelo AHP'!$U$27*aux!AI125)</f>
        <v>9.7961743665905005E-3</v>
      </c>
    </row>
    <row r="126" spans="1:36">
      <c r="A126" s="248">
        <v>36</v>
      </c>
      <c r="B126" s="14" t="s">
        <v>139</v>
      </c>
      <c r="C126" s="15" t="s">
        <v>143</v>
      </c>
      <c r="D126" s="239">
        <v>6.82</v>
      </c>
      <c r="E126" s="240">
        <v>83.27</v>
      </c>
      <c r="F126" s="239">
        <v>55.809703145768722</v>
      </c>
      <c r="G126" s="241">
        <v>28800.948012344434</v>
      </c>
      <c r="H126" s="240">
        <v>9.49</v>
      </c>
      <c r="I126" s="240">
        <v>11.08</v>
      </c>
      <c r="J126" s="239">
        <v>4.4781942315730809</v>
      </c>
      <c r="K126" s="116">
        <v>73432.17</v>
      </c>
      <c r="L126" s="112">
        <v>4.7936085219707054E-2</v>
      </c>
      <c r="M126" s="242">
        <v>826</v>
      </c>
      <c r="N126" s="112">
        <v>6.3E-2</v>
      </c>
      <c r="O126" s="112">
        <v>6.9000000000000006E-2</v>
      </c>
      <c r="P126" s="19">
        <f t="shared" si="48"/>
        <v>5.7383256205300768E-3</v>
      </c>
      <c r="Q126" s="19">
        <f t="shared" si="49"/>
        <v>0.99250834230766805</v>
      </c>
      <c r="R126" s="19">
        <f t="shared" si="50"/>
        <v>7.6346795562128363E-3</v>
      </c>
      <c r="S126" s="19">
        <f t="shared" si="51"/>
        <v>1.1745125011550967E-2</v>
      </c>
      <c r="T126" s="19">
        <f t="shared" si="52"/>
        <v>0.99471549555496797</v>
      </c>
      <c r="U126" s="91">
        <f t="shared" si="53"/>
        <v>7.6516576581151397E-3</v>
      </c>
      <c r="V126" s="19">
        <f t="shared" si="54"/>
        <v>1.0035743744844646E-2</v>
      </c>
      <c r="W126" s="19">
        <f t="shared" si="55"/>
        <v>9.4231709650670799E-3</v>
      </c>
      <c r="X126" s="19">
        <f t="shared" si="56"/>
        <v>8.1717572774610905E-3</v>
      </c>
      <c r="Y126" s="19">
        <f t="shared" si="57"/>
        <v>0.99442829356601314</v>
      </c>
      <c r="Z126" s="91">
        <f t="shared" si="58"/>
        <v>7.6494484120462518E-3</v>
      </c>
      <c r="AA126" s="19">
        <f t="shared" si="59"/>
        <v>9.8894388400523371E-3</v>
      </c>
      <c r="AB126" s="19">
        <f t="shared" si="60"/>
        <v>7.5198237484409569E-3</v>
      </c>
      <c r="AC126" s="19">
        <f t="shared" si="61"/>
        <v>1.215277777777778E-2</v>
      </c>
      <c r="AD126" s="19">
        <f t="shared" si="62"/>
        <v>1.1178012532483723E-2</v>
      </c>
      <c r="AE126" s="23">
        <f>('Modelo AHP'!$U$37*aux!P126)+('Modelo AHP'!$U$38*aux!R126)+('Modelo AHP'!$U$39*aux!S126)</f>
        <v>9.5320406487108874E-3</v>
      </c>
      <c r="AF126" s="24">
        <f>aux!U126</f>
        <v>7.6516576581151397E-3</v>
      </c>
      <c r="AG126" s="23">
        <f>('Modelo AHP'!$U$47*aux!V126)+('Modelo AHP'!$U$48*aux!W126)+('Modelo AHP'!$U$49*aux!X126)</f>
        <v>9.0420568161890449E-3</v>
      </c>
      <c r="AH126" s="24">
        <f t="shared" si="63"/>
        <v>7.6494484120462518E-3</v>
      </c>
      <c r="AI126" s="23">
        <f>('Modelo AHP'!$U$56*aux!AA126)+('Modelo AHP'!$U$57*aux!AB126)+('Modelo AHP'!$U$58*aux!AC126)+('Modelo AHP'!$U$59*aux!AD126)</f>
        <v>9.3708301711294059E-3</v>
      </c>
      <c r="AJ126" s="25">
        <f>('Modelo AHP'!$U$23*aux!AE126)+('Modelo AHP'!$U$24*aux!AF126)+('Modelo AHP'!$U$25*aux!AG126)+('Modelo AHP'!$U$26*aux!AH126)+('Modelo AHP'!$U$27*aux!AI126)</f>
        <v>8.6013811209511726E-3</v>
      </c>
    </row>
    <row r="127" spans="1:36">
      <c r="A127" s="248">
        <v>74</v>
      </c>
      <c r="B127" s="14" t="s">
        <v>139</v>
      </c>
      <c r="C127" s="15" t="s">
        <v>144</v>
      </c>
      <c r="D127" s="239">
        <v>2.98</v>
      </c>
      <c r="E127" s="240">
        <v>85.68</v>
      </c>
      <c r="F127" s="239">
        <v>31.080412185573504</v>
      </c>
      <c r="G127" s="241">
        <v>44105.511819772386</v>
      </c>
      <c r="H127" s="240">
        <v>5.82</v>
      </c>
      <c r="I127" s="240">
        <v>6.8</v>
      </c>
      <c r="J127" s="239">
        <v>4.4781942315730809</v>
      </c>
      <c r="K127" s="116">
        <v>80856.09</v>
      </c>
      <c r="L127" s="112">
        <v>4.7936085219707054E-2</v>
      </c>
      <c r="M127" s="242">
        <v>826</v>
      </c>
      <c r="N127" s="112">
        <v>6.3E-2</v>
      </c>
      <c r="O127" s="112">
        <v>6.9000000000000006E-2</v>
      </c>
      <c r="P127" s="19">
        <f t="shared" si="48"/>
        <v>2.5073622212873356E-3</v>
      </c>
      <c r="Q127" s="19">
        <f t="shared" si="49"/>
        <v>0.99229151878132582</v>
      </c>
      <c r="R127" s="19">
        <f t="shared" si="50"/>
        <v>7.6330116829332805E-3</v>
      </c>
      <c r="S127" s="19">
        <f t="shared" si="51"/>
        <v>6.5408576995408902E-3</v>
      </c>
      <c r="T127" s="19">
        <f t="shared" si="52"/>
        <v>0.99190735759246185</v>
      </c>
      <c r="U127" s="91">
        <f t="shared" si="53"/>
        <v>7.6300565968650926E-3</v>
      </c>
      <c r="V127" s="19">
        <f t="shared" si="54"/>
        <v>6.1546921596412904E-3</v>
      </c>
      <c r="W127" s="19">
        <f t="shared" si="55"/>
        <v>5.7831735164671607E-3</v>
      </c>
      <c r="X127" s="19">
        <f t="shared" si="56"/>
        <v>8.1717572774610905E-3</v>
      </c>
      <c r="Y127" s="19">
        <f t="shared" si="57"/>
        <v>0.99386499953794061</v>
      </c>
      <c r="Z127" s="91">
        <f t="shared" si="58"/>
        <v>7.6451153810610786E-3</v>
      </c>
      <c r="AA127" s="19">
        <f t="shared" si="59"/>
        <v>9.8894388400523371E-3</v>
      </c>
      <c r="AB127" s="19">
        <f t="shared" si="60"/>
        <v>7.5198237484409569E-3</v>
      </c>
      <c r="AC127" s="19">
        <f t="shared" si="61"/>
        <v>1.215277777777778E-2</v>
      </c>
      <c r="AD127" s="19">
        <f t="shared" si="62"/>
        <v>1.1178012532483723E-2</v>
      </c>
      <c r="AE127" s="23">
        <f>('Modelo AHP'!$U$37*aux!P127)+('Modelo AHP'!$U$38*aux!R127)+('Modelo AHP'!$U$39*aux!S127)</f>
        <v>5.4400244544040629E-3</v>
      </c>
      <c r="AF127" s="24">
        <f>aux!U127</f>
        <v>7.6300565968650926E-3</v>
      </c>
      <c r="AG127" s="23">
        <f>('Modelo AHP'!$U$47*aux!V127)+('Modelo AHP'!$U$48*aux!W127)+('Modelo AHP'!$U$49*aux!X127)</f>
        <v>6.7713025320299347E-3</v>
      </c>
      <c r="AH127" s="24">
        <f t="shared" si="63"/>
        <v>7.6451153810610786E-3</v>
      </c>
      <c r="AI127" s="23">
        <f>('Modelo AHP'!$U$56*aux!AA127)+('Modelo AHP'!$U$57*aux!AB127)+('Modelo AHP'!$U$58*aux!AC127)+('Modelo AHP'!$U$59*aux!AD127)</f>
        <v>9.3708301711294059E-3</v>
      </c>
      <c r="AJ127" s="25">
        <f>('Modelo AHP'!$U$23*aux!AE127)+('Modelo AHP'!$U$24*aux!AF127)+('Modelo AHP'!$U$25*aux!AG127)+('Modelo AHP'!$U$26*aux!AH127)+('Modelo AHP'!$U$27*aux!AI127)</f>
        <v>7.1352155183175281E-3</v>
      </c>
    </row>
    <row r="128" spans="1:36">
      <c r="A128" s="248">
        <v>60</v>
      </c>
      <c r="B128" s="14" t="s">
        <v>139</v>
      </c>
      <c r="C128" s="15" t="s">
        <v>145</v>
      </c>
      <c r="D128" s="239">
        <v>10.63</v>
      </c>
      <c r="E128" s="240">
        <v>87.94</v>
      </c>
      <c r="F128" s="239">
        <v>27.963176064441889</v>
      </c>
      <c r="G128" s="241">
        <v>38875.465797749443</v>
      </c>
      <c r="H128" s="240">
        <v>5.73</v>
      </c>
      <c r="I128" s="240">
        <v>7.8650000000000002</v>
      </c>
      <c r="J128" s="239">
        <v>4.4781942315730809</v>
      </c>
      <c r="K128" s="116">
        <v>59955.78</v>
      </c>
      <c r="L128" s="112">
        <v>4.7936085219707054E-2</v>
      </c>
      <c r="M128" s="242">
        <v>826</v>
      </c>
      <c r="N128" s="112">
        <v>6.3E-2</v>
      </c>
      <c r="O128" s="112">
        <v>6.9000000000000006E-2</v>
      </c>
      <c r="P128" s="19">
        <f t="shared" si="48"/>
        <v>8.9440471182162338E-3</v>
      </c>
      <c r="Q128" s="19">
        <f t="shared" si="49"/>
        <v>0.99208819049521235</v>
      </c>
      <c r="R128" s="19">
        <f t="shared" si="50"/>
        <v>7.6314476191939465E-3</v>
      </c>
      <c r="S128" s="19">
        <f t="shared" si="51"/>
        <v>5.8848368667909698E-3</v>
      </c>
      <c r="T128" s="19">
        <f t="shared" si="52"/>
        <v>0.99286698577689725</v>
      </c>
      <c r="U128" s="91">
        <f t="shared" si="53"/>
        <v>7.6374383521299804E-3</v>
      </c>
      <c r="V128" s="19">
        <f t="shared" si="54"/>
        <v>6.0595165076880748E-3</v>
      </c>
      <c r="W128" s="19">
        <f t="shared" si="55"/>
        <v>6.6889205451491508E-3</v>
      </c>
      <c r="X128" s="19">
        <f t="shared" si="56"/>
        <v>8.1717572774610905E-3</v>
      </c>
      <c r="Y128" s="19">
        <f t="shared" si="57"/>
        <v>0.99545082209635505</v>
      </c>
      <c r="Z128" s="91">
        <f t="shared" si="58"/>
        <v>7.6573140161258048E-3</v>
      </c>
      <c r="AA128" s="19">
        <f t="shared" si="59"/>
        <v>9.8894388400523371E-3</v>
      </c>
      <c r="AB128" s="19">
        <f t="shared" si="60"/>
        <v>7.5198237484409569E-3</v>
      </c>
      <c r="AC128" s="19">
        <f t="shared" si="61"/>
        <v>1.215277777777778E-2</v>
      </c>
      <c r="AD128" s="19">
        <f t="shared" si="62"/>
        <v>1.1178012532483723E-2</v>
      </c>
      <c r="AE128" s="23">
        <f>('Modelo AHP'!$U$37*aux!P128)+('Modelo AHP'!$U$38*aux!R128)+('Modelo AHP'!$U$39*aux!S128)</f>
        <v>6.9772610174588462E-3</v>
      </c>
      <c r="AF128" s="24">
        <f>aux!U128</f>
        <v>7.6374383521299804E-3</v>
      </c>
      <c r="AG128" s="23">
        <f>('Modelo AHP'!$U$47*aux!V128)+('Modelo AHP'!$U$48*aux!W128)+('Modelo AHP'!$U$49*aux!X128)</f>
        <v>7.1568334262889777E-3</v>
      </c>
      <c r="AH128" s="24">
        <f t="shared" si="63"/>
        <v>7.6573140161258048E-3</v>
      </c>
      <c r="AI128" s="23">
        <f>('Modelo AHP'!$U$56*aux!AA128)+('Modelo AHP'!$U$57*aux!AB128)+('Modelo AHP'!$U$58*aux!AC128)+('Modelo AHP'!$U$59*aux!AD128)</f>
        <v>9.3708301711294059E-3</v>
      </c>
      <c r="AJ128" s="25">
        <f>('Modelo AHP'!$U$23*aux!AE128)+('Modelo AHP'!$U$24*aux!AF128)+('Modelo AHP'!$U$25*aux!AG128)+('Modelo AHP'!$U$26*aux!AH128)+('Modelo AHP'!$U$27*aux!AI128)</f>
        <v>7.5268012271245627E-3</v>
      </c>
    </row>
    <row r="129" spans="1:36">
      <c r="A129" s="248">
        <v>39</v>
      </c>
      <c r="B129" s="14" t="s">
        <v>139</v>
      </c>
      <c r="C129" s="15" t="s">
        <v>146</v>
      </c>
      <c r="D129" s="239">
        <v>9.48</v>
      </c>
      <c r="E129" s="240">
        <v>84.5</v>
      </c>
      <c r="F129" s="239">
        <v>53.166577967003725</v>
      </c>
      <c r="G129" s="241">
        <v>31834.133591988113</v>
      </c>
      <c r="H129" s="240">
        <v>8.24</v>
      </c>
      <c r="I129" s="240">
        <v>10.395</v>
      </c>
      <c r="J129" s="239">
        <v>4.4781942315730809</v>
      </c>
      <c r="K129" s="116">
        <v>62681.94</v>
      </c>
      <c r="L129" s="112">
        <v>4.7936085219707054E-2</v>
      </c>
      <c r="M129" s="242">
        <v>826</v>
      </c>
      <c r="N129" s="112">
        <v>6.3E-2</v>
      </c>
      <c r="O129" s="112">
        <v>6.9000000000000006E-2</v>
      </c>
      <c r="P129" s="19">
        <f t="shared" si="48"/>
        <v>7.9764408918805169E-3</v>
      </c>
      <c r="Q129" s="19">
        <f t="shared" si="49"/>
        <v>0.99239768133779216</v>
      </c>
      <c r="R129" s="19">
        <f t="shared" si="50"/>
        <v>7.6338283179830215E-3</v>
      </c>
      <c r="S129" s="19">
        <f t="shared" si="51"/>
        <v>1.1188880597121994E-2</v>
      </c>
      <c r="T129" s="19">
        <f t="shared" si="52"/>
        <v>0.99415895544832411</v>
      </c>
      <c r="U129" s="91">
        <f t="shared" si="53"/>
        <v>7.6473765803717255E-3</v>
      </c>
      <c r="V129" s="19">
        <f t="shared" si="54"/>
        <v>8.7138596899388708E-3</v>
      </c>
      <c r="W129" s="19">
        <f t="shared" si="55"/>
        <v>8.8406012799523738E-3</v>
      </c>
      <c r="X129" s="19">
        <f t="shared" si="56"/>
        <v>8.1717572774610905E-3</v>
      </c>
      <c r="Y129" s="19">
        <f t="shared" si="57"/>
        <v>0.9952439732014895</v>
      </c>
      <c r="Z129" s="91">
        <f t="shared" si="58"/>
        <v>7.6557228707806848E-3</v>
      </c>
      <c r="AA129" s="19">
        <f t="shared" si="59"/>
        <v>9.8894388400523371E-3</v>
      </c>
      <c r="AB129" s="19">
        <f t="shared" si="60"/>
        <v>7.5198237484409569E-3</v>
      </c>
      <c r="AC129" s="19">
        <f t="shared" si="61"/>
        <v>1.215277777777778E-2</v>
      </c>
      <c r="AD129" s="19">
        <f t="shared" si="62"/>
        <v>1.1178012532483723E-2</v>
      </c>
      <c r="AE129" s="23">
        <f>('Modelo AHP'!$U$37*aux!P129)+('Modelo AHP'!$U$38*aux!R129)+('Modelo AHP'!$U$39*aux!S129)</f>
        <v>9.8696434576356525E-3</v>
      </c>
      <c r="AF129" s="24">
        <f>aux!U129</f>
        <v>7.6473765803717255E-3</v>
      </c>
      <c r="AG129" s="23">
        <f>('Modelo AHP'!$U$47*aux!V129)+('Modelo AHP'!$U$48*aux!W129)+('Modelo AHP'!$U$49*aux!X129)</f>
        <v>8.5600658409944325E-3</v>
      </c>
      <c r="AH129" s="24">
        <f t="shared" si="63"/>
        <v>7.6557228707806848E-3</v>
      </c>
      <c r="AI129" s="23">
        <f>('Modelo AHP'!$U$56*aux!AA129)+('Modelo AHP'!$U$57*aux!AB129)+('Modelo AHP'!$U$58*aux!AC129)+('Modelo AHP'!$U$59*aux!AD129)</f>
        <v>9.3708301711294059E-3</v>
      </c>
      <c r="AJ129" s="25">
        <f>('Modelo AHP'!$U$23*aux!AE129)+('Modelo AHP'!$U$24*aux!AF129)+('Modelo AHP'!$U$25*aux!AG129)+('Modelo AHP'!$U$26*aux!AH129)+('Modelo AHP'!$U$27*aux!AI129)</f>
        <v>8.4921036135736407E-3</v>
      </c>
    </row>
    <row r="130" spans="1:36">
      <c r="A130" s="248">
        <v>72</v>
      </c>
      <c r="B130" s="14" t="s">
        <v>139</v>
      </c>
      <c r="C130" s="15" t="s">
        <v>331</v>
      </c>
      <c r="D130" s="239">
        <v>4.2300000000000004</v>
      </c>
      <c r="E130" s="240">
        <v>85.78</v>
      </c>
      <c r="F130" s="239">
        <v>25.364900586139523</v>
      </c>
      <c r="G130" s="241">
        <v>54991.197828187956</v>
      </c>
      <c r="H130" s="240">
        <v>5.88</v>
      </c>
      <c r="I130" s="240">
        <v>7.6449999999999996</v>
      </c>
      <c r="J130" s="239">
        <v>4.4781942315730809</v>
      </c>
      <c r="K130" s="116">
        <v>123056.23</v>
      </c>
      <c r="L130" s="112">
        <v>4.7936085219707054E-2</v>
      </c>
      <c r="M130" s="242">
        <v>826</v>
      </c>
      <c r="N130" s="112">
        <v>6.3E-2</v>
      </c>
      <c r="O130" s="112">
        <v>6.9000000000000006E-2</v>
      </c>
      <c r="P130" s="19">
        <f t="shared" si="48"/>
        <v>3.5591081194783322E-3</v>
      </c>
      <c r="Q130" s="19">
        <f t="shared" si="49"/>
        <v>0.99228252195450661</v>
      </c>
      <c r="R130" s="19">
        <f t="shared" si="50"/>
        <v>7.6329424765731327E-3</v>
      </c>
      <c r="S130" s="19">
        <f t="shared" si="51"/>
        <v>5.338031050114227E-3</v>
      </c>
      <c r="T130" s="19">
        <f t="shared" si="52"/>
        <v>0.98991001166919446</v>
      </c>
      <c r="U130" s="91">
        <f t="shared" si="53"/>
        <v>7.614692397455344E-3</v>
      </c>
      <c r="V130" s="19">
        <f t="shared" si="54"/>
        <v>6.218142594276767E-3</v>
      </c>
      <c r="W130" s="19">
        <f t="shared" si="55"/>
        <v>6.5018178725575653E-3</v>
      </c>
      <c r="X130" s="19">
        <f t="shared" si="56"/>
        <v>8.1717572774610905E-3</v>
      </c>
      <c r="Y130" s="19">
        <f t="shared" si="57"/>
        <v>0.9906630406205732</v>
      </c>
      <c r="Z130" s="91">
        <f t="shared" si="58"/>
        <v>7.6204849278505597E-3</v>
      </c>
      <c r="AA130" s="19">
        <f t="shared" si="59"/>
        <v>9.8894388400523371E-3</v>
      </c>
      <c r="AB130" s="19">
        <f t="shared" si="60"/>
        <v>7.5198237484409569E-3</v>
      </c>
      <c r="AC130" s="19">
        <f t="shared" si="61"/>
        <v>1.215277777777778E-2</v>
      </c>
      <c r="AD130" s="19">
        <f t="shared" si="62"/>
        <v>1.1178012532483723E-2</v>
      </c>
      <c r="AE130" s="23">
        <f>('Modelo AHP'!$U$37*aux!P130)+('Modelo AHP'!$U$38*aux!R130)+('Modelo AHP'!$U$39*aux!S130)</f>
        <v>5.0338453135693488E-3</v>
      </c>
      <c r="AF130" s="24">
        <f>aux!U130</f>
        <v>7.614692397455344E-3</v>
      </c>
      <c r="AG130" s="23">
        <f>('Modelo AHP'!$U$47*aux!V130)+('Modelo AHP'!$U$48*aux!W130)+('Modelo AHP'!$U$49*aux!X130)</f>
        <v>7.1007061678153849E-3</v>
      </c>
      <c r="AH130" s="24">
        <f t="shared" si="63"/>
        <v>7.6204849278505597E-3</v>
      </c>
      <c r="AI130" s="23">
        <f>('Modelo AHP'!$U$56*aux!AA130)+('Modelo AHP'!$U$57*aux!AB130)+('Modelo AHP'!$U$58*aux!AC130)+('Modelo AHP'!$U$59*aux!AD130)</f>
        <v>9.3708301711294059E-3</v>
      </c>
      <c r="AJ130" s="25">
        <f>('Modelo AHP'!$U$23*aux!AE130)+('Modelo AHP'!$U$24*aux!AF130)+('Modelo AHP'!$U$25*aux!AG130)+('Modelo AHP'!$U$26*aux!AH130)+('Modelo AHP'!$U$27*aux!AI130)</f>
        <v>7.1731882271869043E-3</v>
      </c>
    </row>
    <row r="131" spans="1:36">
      <c r="A131" s="248">
        <v>111</v>
      </c>
      <c r="B131" s="14" t="s">
        <v>147</v>
      </c>
      <c r="C131" s="15" t="s">
        <v>148</v>
      </c>
      <c r="D131" s="239">
        <v>2.59</v>
      </c>
      <c r="E131" s="240">
        <v>84.7</v>
      </c>
      <c r="F131" s="239">
        <v>20.602776837114799</v>
      </c>
      <c r="G131" s="241">
        <v>52966.258089558265</v>
      </c>
      <c r="H131" s="240">
        <v>5.33</v>
      </c>
      <c r="I131" s="240">
        <v>6.9550000000000001</v>
      </c>
      <c r="J131" s="239">
        <v>2.8390176496451227</v>
      </c>
      <c r="K131" s="116">
        <v>88681.16</v>
      </c>
      <c r="L131" s="112">
        <v>2.4022988505747127E-2</v>
      </c>
      <c r="M131" s="242">
        <v>80</v>
      </c>
      <c r="N131" s="112">
        <v>2.5999999999999999E-2</v>
      </c>
      <c r="O131" s="112">
        <v>3.1E-2</v>
      </c>
      <c r="P131" s="19">
        <f t="shared" si="48"/>
        <v>2.1792175010517446E-3</v>
      </c>
      <c r="Q131" s="19">
        <f t="shared" si="49"/>
        <v>0.99237968768415374</v>
      </c>
      <c r="R131" s="19">
        <f t="shared" si="50"/>
        <v>7.6336899052627258E-3</v>
      </c>
      <c r="S131" s="19">
        <f t="shared" si="51"/>
        <v>4.3358444123053194E-3</v>
      </c>
      <c r="T131" s="19">
        <f t="shared" si="52"/>
        <v>0.99028155510051219</v>
      </c>
      <c r="U131" s="91">
        <f t="shared" si="53"/>
        <v>7.6175504238500955E-3</v>
      </c>
      <c r="V131" s="19">
        <f t="shared" si="54"/>
        <v>5.636513610118226E-3</v>
      </c>
      <c r="W131" s="19">
        <f t="shared" si="55"/>
        <v>5.9149958539748684E-3</v>
      </c>
      <c r="X131" s="19">
        <f t="shared" si="56"/>
        <v>5.1806067221828603E-3</v>
      </c>
      <c r="Y131" s="19">
        <f t="shared" si="57"/>
        <v>0.99327126803217969</v>
      </c>
      <c r="Z131" s="91">
        <f t="shared" si="58"/>
        <v>7.640548215632148E-3</v>
      </c>
      <c r="AA131" s="19">
        <f t="shared" si="59"/>
        <v>4.9560550156314649E-3</v>
      </c>
      <c r="AB131" s="19">
        <f t="shared" si="60"/>
        <v>7.283122274519086E-4</v>
      </c>
      <c r="AC131" s="19">
        <f t="shared" si="61"/>
        <v>5.0154320987654327E-3</v>
      </c>
      <c r="AD131" s="19">
        <f t="shared" si="62"/>
        <v>5.0220056305361645E-3</v>
      </c>
      <c r="AE131" s="23">
        <f>('Modelo AHP'!$U$37*aux!P131)+('Modelo AHP'!$U$38*aux!R131)+('Modelo AHP'!$U$39*aux!S131)</f>
        <v>4.0186408882249879E-3</v>
      </c>
      <c r="AF131" s="24">
        <f>aux!U131</f>
        <v>7.6175504238500955E-3</v>
      </c>
      <c r="AG131" s="23">
        <f>('Modelo AHP'!$U$47*aux!V131)+('Modelo AHP'!$U$48*aux!W131)+('Modelo AHP'!$U$49*aux!X131)</f>
        <v>5.5833956324325097E-3</v>
      </c>
      <c r="AH131" s="24">
        <f t="shared" si="63"/>
        <v>7.640548215632148E-3</v>
      </c>
      <c r="AI131" s="23">
        <f>('Modelo AHP'!$U$56*aux!AA131)+('Modelo AHP'!$U$57*aux!AB131)+('Modelo AHP'!$U$58*aux!AC131)+('Modelo AHP'!$U$59*aux!AD131)</f>
        <v>2.8897023671300669E-3</v>
      </c>
      <c r="AJ131" s="25">
        <f>('Modelo AHP'!$U$23*aux!AE131)+('Modelo AHP'!$U$24*aux!AF131)+('Modelo AHP'!$U$25*aux!AG131)+('Modelo AHP'!$U$26*aux!AH131)+('Modelo AHP'!$U$27*aux!AI131)</f>
        <v>5.8809368498614874E-3</v>
      </c>
    </row>
    <row r="132" spans="1:36">
      <c r="A132" s="248">
        <v>55</v>
      </c>
      <c r="B132" s="16" t="s">
        <v>147</v>
      </c>
      <c r="C132" s="17" t="s">
        <v>149</v>
      </c>
      <c r="D132" s="243">
        <v>15.13</v>
      </c>
      <c r="E132" s="244">
        <v>82.12</v>
      </c>
      <c r="F132" s="243">
        <v>58.255897069335241</v>
      </c>
      <c r="G132" s="245">
        <v>25366</v>
      </c>
      <c r="H132" s="244">
        <v>7.84</v>
      </c>
      <c r="I132" s="244">
        <v>9.0749999999999993</v>
      </c>
      <c r="J132" s="243">
        <v>2.8390176496451227</v>
      </c>
      <c r="K132" s="117">
        <v>73503.58</v>
      </c>
      <c r="L132" s="112">
        <v>2.4022988505747127E-2</v>
      </c>
      <c r="M132" s="242">
        <v>80</v>
      </c>
      <c r="N132" s="112">
        <v>2.5999999999999999E-2</v>
      </c>
      <c r="O132" s="112">
        <v>3.1E-2</v>
      </c>
      <c r="P132" s="19">
        <f t="shared" si="48"/>
        <v>1.2730332351703821E-2</v>
      </c>
      <c r="Q132" s="19">
        <f t="shared" si="49"/>
        <v>0.99261180581608865</v>
      </c>
      <c r="R132" s="19">
        <f t="shared" si="50"/>
        <v>7.6354754293545329E-3</v>
      </c>
      <c r="S132" s="19">
        <f t="shared" si="51"/>
        <v>1.2259925338650777E-2</v>
      </c>
      <c r="T132" s="19">
        <f t="shared" si="52"/>
        <v>0.99534575251845081</v>
      </c>
      <c r="U132" s="91">
        <f t="shared" si="53"/>
        <v>7.6565057886034691E-3</v>
      </c>
      <c r="V132" s="19">
        <f t="shared" si="54"/>
        <v>8.2908567923690221E-3</v>
      </c>
      <c r="W132" s="19">
        <f t="shared" si="55"/>
        <v>7.7179852444028653E-3</v>
      </c>
      <c r="X132" s="19">
        <f t="shared" si="56"/>
        <v>5.1806067221828603E-3</v>
      </c>
      <c r="Y132" s="19">
        <f t="shared" si="57"/>
        <v>0.99442287529284412</v>
      </c>
      <c r="Z132" s="91">
        <f t="shared" si="58"/>
        <v>7.6494067330218742E-3</v>
      </c>
      <c r="AA132" s="19">
        <f t="shared" si="59"/>
        <v>4.9560550156314649E-3</v>
      </c>
      <c r="AB132" s="19">
        <f t="shared" si="60"/>
        <v>7.283122274519086E-4</v>
      </c>
      <c r="AC132" s="19">
        <f t="shared" si="61"/>
        <v>5.0154320987654327E-3</v>
      </c>
      <c r="AD132" s="19">
        <f t="shared" si="62"/>
        <v>5.0220056305361645E-3</v>
      </c>
      <c r="AE132" s="23">
        <f>('Modelo AHP'!$U$37*aux!P132)+('Modelo AHP'!$U$38*aux!R132)+('Modelo AHP'!$U$39*aux!S132)</f>
        <v>1.1938602451637066E-2</v>
      </c>
      <c r="AF132" s="24">
        <f>aux!U132</f>
        <v>7.6565057886034691E-3</v>
      </c>
      <c r="AG132" s="23">
        <f>('Modelo AHP'!$U$47*aux!V132)+('Modelo AHP'!$U$48*aux!W132)+('Modelo AHP'!$U$49*aux!X132)</f>
        <v>6.8320081531811541E-3</v>
      </c>
      <c r="AH132" s="24">
        <f t="shared" si="63"/>
        <v>7.6494067330218742E-3</v>
      </c>
      <c r="AI132" s="23">
        <f>('Modelo AHP'!$U$56*aux!AA132)+('Modelo AHP'!$U$57*aux!AB132)+('Modelo AHP'!$U$58*aux!AC132)+('Modelo AHP'!$U$59*aux!AD132)</f>
        <v>2.8897023671300669E-3</v>
      </c>
      <c r="AJ132" s="25">
        <f>('Modelo AHP'!$U$23*aux!AE132)+('Modelo AHP'!$U$24*aux!AF132)+('Modelo AHP'!$U$25*aux!AG132)+('Modelo AHP'!$U$26*aux!AH132)+('Modelo AHP'!$U$27*aux!AI132)</f>
        <v>7.6425757116752929E-3</v>
      </c>
    </row>
    <row r="133" spans="1:36">
      <c r="A133" s="248">
        <v>67</v>
      </c>
      <c r="B133" s="14" t="s">
        <v>147</v>
      </c>
      <c r="C133" s="15" t="s">
        <v>150</v>
      </c>
      <c r="D133" s="239">
        <v>11.45</v>
      </c>
      <c r="E133" s="240">
        <v>84.85</v>
      </c>
      <c r="F133" s="239">
        <v>48.356884653302664</v>
      </c>
      <c r="G133" s="241">
        <v>30892.202490249329</v>
      </c>
      <c r="H133" s="240">
        <v>7.4</v>
      </c>
      <c r="I133" s="240">
        <v>9.254999999999999</v>
      </c>
      <c r="J133" s="239">
        <v>2.8390176496451227</v>
      </c>
      <c r="K133" s="116">
        <v>82836.509999999995</v>
      </c>
      <c r="L133" s="112">
        <v>2.4022988505747127E-2</v>
      </c>
      <c r="M133" s="242">
        <v>80</v>
      </c>
      <c r="N133" s="112">
        <v>2.5999999999999999E-2</v>
      </c>
      <c r="O133" s="112">
        <v>3.1E-2</v>
      </c>
      <c r="P133" s="19">
        <f t="shared" si="48"/>
        <v>9.6339924274295267E-3</v>
      </c>
      <c r="Q133" s="19">
        <f t="shared" si="49"/>
        <v>0.99236619244392499</v>
      </c>
      <c r="R133" s="19">
        <f t="shared" ref="R133:R135" si="64">Q133/R$1</f>
        <v>7.6335860957225049E-3</v>
      </c>
      <c r="S133" s="19">
        <f t="shared" si="51"/>
        <v>1.0176682967453672E-2</v>
      </c>
      <c r="T133" s="19">
        <f t="shared" si="52"/>
        <v>0.9943317844500611</v>
      </c>
      <c r="U133" s="91">
        <f t="shared" ref="U133:U135" si="65">T133/U$1</f>
        <v>7.648706034231241E-3</v>
      </c>
      <c r="V133" s="19">
        <f t="shared" si="54"/>
        <v>7.8255536050421907E-3</v>
      </c>
      <c r="W133" s="19">
        <f t="shared" si="55"/>
        <v>7.8710692492505244E-3</v>
      </c>
      <c r="X133" s="19">
        <f t="shared" si="56"/>
        <v>5.1806067221828603E-3</v>
      </c>
      <c r="Y133" s="19">
        <f t="shared" si="57"/>
        <v>0.99371473407723054</v>
      </c>
      <c r="Z133" s="91">
        <f t="shared" ref="Z133:Z135" si="66">Y133/Z$1</f>
        <v>7.6439594929017703E-3</v>
      </c>
      <c r="AA133" s="19">
        <f t="shared" si="59"/>
        <v>4.9560550156314649E-3</v>
      </c>
      <c r="AB133" s="19">
        <f t="shared" si="60"/>
        <v>7.283122274519086E-4</v>
      </c>
      <c r="AC133" s="19">
        <f t="shared" si="61"/>
        <v>5.0154320987654327E-3</v>
      </c>
      <c r="AD133" s="19">
        <f t="shared" si="62"/>
        <v>5.0220056305361645E-3</v>
      </c>
      <c r="AE133" s="23">
        <f>('Modelo AHP'!$U$37*aux!P133)+('Modelo AHP'!$U$38*aux!R133)+('Modelo AHP'!$U$39*aux!S133)</f>
        <v>9.7595661182733121E-3</v>
      </c>
      <c r="AF133" s="24">
        <f>aux!U133</f>
        <v>7.648706034231241E-3</v>
      </c>
      <c r="AG133" s="23">
        <f>('Modelo AHP'!$U$47*aux!V133)+('Modelo AHP'!$U$48*aux!W133)+('Modelo AHP'!$U$49*aux!X133)</f>
        <v>6.8211608170909233E-3</v>
      </c>
      <c r="AH133" s="24">
        <f t="shared" si="63"/>
        <v>7.6439594929017703E-3</v>
      </c>
      <c r="AI133" s="23">
        <f>('Modelo AHP'!$U$56*aux!AA133)+('Modelo AHP'!$U$57*aux!AB133)+('Modelo AHP'!$U$58*aux!AC133)+('Modelo AHP'!$U$59*aux!AD133)</f>
        <v>2.8897023671300669E-3</v>
      </c>
      <c r="AJ133" s="25">
        <f>('Modelo AHP'!$U$23*aux!AE133)+('Modelo AHP'!$U$24*aux!AF133)+('Modelo AHP'!$U$25*aux!AG133)+('Modelo AHP'!$U$26*aux!AH133)+('Modelo AHP'!$U$27*aux!AI133)</f>
        <v>7.2722948143916456E-3</v>
      </c>
    </row>
    <row r="134" spans="1:36">
      <c r="A134" s="248">
        <v>91</v>
      </c>
      <c r="B134" s="14" t="s">
        <v>147</v>
      </c>
      <c r="C134" s="15" t="s">
        <v>151</v>
      </c>
      <c r="D134" s="239">
        <v>5.75</v>
      </c>
      <c r="E134" s="240">
        <v>85.61</v>
      </c>
      <c r="F134" s="239">
        <v>29.890992541594951</v>
      </c>
      <c r="G134" s="241">
        <v>41635.74326319353</v>
      </c>
      <c r="H134" s="240">
        <v>6.12</v>
      </c>
      <c r="I134" s="240">
        <v>7.55</v>
      </c>
      <c r="J134" s="239">
        <v>2.8390176496451227</v>
      </c>
      <c r="K134" s="116">
        <v>98147.3</v>
      </c>
      <c r="L134" s="112">
        <v>2.4022988505747127E-2</v>
      </c>
      <c r="M134" s="242">
        <v>80</v>
      </c>
      <c r="N134" s="112">
        <v>2.5999999999999999E-2</v>
      </c>
      <c r="O134" s="112">
        <v>3.1E-2</v>
      </c>
      <c r="P134" s="19">
        <f t="shared" si="48"/>
        <v>4.8380311316785834E-3</v>
      </c>
      <c r="Q134" s="19">
        <f t="shared" si="49"/>
        <v>0.9922978165600993</v>
      </c>
      <c r="R134" s="19">
        <f t="shared" si="64"/>
        <v>7.633060127385384E-3</v>
      </c>
      <c r="S134" s="19">
        <f t="shared" si="51"/>
        <v>6.2905449112210035E-3</v>
      </c>
      <c r="T134" s="19">
        <f t="shared" si="52"/>
        <v>0.99236051986024032</v>
      </c>
      <c r="U134" s="91">
        <f t="shared" si="65"/>
        <v>7.6335424604633889E-3</v>
      </c>
      <c r="V134" s="19">
        <f t="shared" si="54"/>
        <v>6.4719443328186757E-3</v>
      </c>
      <c r="W134" s="19">
        <f t="shared" si="55"/>
        <v>6.4210235366657454E-3</v>
      </c>
      <c r="X134" s="19">
        <f t="shared" si="56"/>
        <v>5.1806067221828603E-3</v>
      </c>
      <c r="Y134" s="19">
        <f t="shared" si="57"/>
        <v>0.99255301943428287</v>
      </c>
      <c r="Z134" s="91">
        <f t="shared" si="66"/>
        <v>7.6350232264175569E-3</v>
      </c>
      <c r="AA134" s="19">
        <f t="shared" si="59"/>
        <v>4.9560550156314649E-3</v>
      </c>
      <c r="AB134" s="19">
        <f t="shared" si="60"/>
        <v>7.283122274519086E-4</v>
      </c>
      <c r="AC134" s="19">
        <f t="shared" si="61"/>
        <v>5.0154320987654327E-3</v>
      </c>
      <c r="AD134" s="19">
        <f t="shared" si="62"/>
        <v>5.0220056305361645E-3</v>
      </c>
      <c r="AE134" s="23">
        <f>('Modelo AHP'!$U$37*aux!P134)+('Modelo AHP'!$U$38*aux!R134)+('Modelo AHP'!$U$39*aux!S134)</f>
        <v>5.9890422989747148E-3</v>
      </c>
      <c r="AF134" s="24">
        <f>aux!U134</f>
        <v>7.6335424604633889E-3</v>
      </c>
      <c r="AG134" s="23">
        <f>('Modelo AHP'!$U$47*aux!V134)+('Modelo AHP'!$U$48*aux!W134)+('Modelo AHP'!$U$49*aux!X134)</f>
        <v>5.9491378126884801E-3</v>
      </c>
      <c r="AH134" s="24">
        <f t="shared" si="63"/>
        <v>7.6350232264175569E-3</v>
      </c>
      <c r="AI134" s="23">
        <f>('Modelo AHP'!$U$56*aux!AA134)+('Modelo AHP'!$U$57*aux!AB134)+('Modelo AHP'!$U$58*aux!AC134)+('Modelo AHP'!$U$59*aux!AD134)</f>
        <v>2.8897023671300669E-3</v>
      </c>
      <c r="AJ134" s="25">
        <f>('Modelo AHP'!$U$23*aux!AE134)+('Modelo AHP'!$U$24*aux!AF134)+('Modelo AHP'!$U$25*aux!AG134)+('Modelo AHP'!$U$26*aux!AH134)+('Modelo AHP'!$U$27*aux!AI134)</f>
        <v>6.3394948202385231E-3</v>
      </c>
    </row>
    <row r="135" spans="1:36">
      <c r="A135" s="248">
        <v>122</v>
      </c>
      <c r="B135" s="14" t="s">
        <v>147</v>
      </c>
      <c r="C135" s="15" t="s">
        <v>152</v>
      </c>
      <c r="D135" s="239">
        <v>2.54</v>
      </c>
      <c r="E135" s="240">
        <v>85.23</v>
      </c>
      <c r="F135" s="239">
        <v>15.168539325842696</v>
      </c>
      <c r="G135" s="241">
        <v>67321.429582471959</v>
      </c>
      <c r="H135" s="240">
        <v>4.6100000000000003</v>
      </c>
      <c r="I135" s="240">
        <v>6.3550000000000004</v>
      </c>
      <c r="J135" s="239">
        <v>2.8390176496451227</v>
      </c>
      <c r="K135" s="116">
        <v>115940.36</v>
      </c>
      <c r="L135" s="112">
        <v>2.4022988505747127E-2</v>
      </c>
      <c r="M135" s="242">
        <v>80</v>
      </c>
      <c r="N135" s="112">
        <v>2.5999999999999999E-2</v>
      </c>
      <c r="O135" s="112">
        <v>3.1E-2</v>
      </c>
      <c r="P135" s="19">
        <f t="shared" si="48"/>
        <v>2.1371476651241049E-3</v>
      </c>
      <c r="Q135" s="19">
        <f t="shared" si="49"/>
        <v>0.99233200450201209</v>
      </c>
      <c r="R135" s="19">
        <f t="shared" si="64"/>
        <v>7.6333231115539441E-3</v>
      </c>
      <c r="S135" s="19">
        <f t="shared" si="51"/>
        <v>3.1922117585776234E-3</v>
      </c>
      <c r="T135" s="19">
        <f t="shared" si="52"/>
        <v>0.98764761515065413</v>
      </c>
      <c r="U135" s="91">
        <f t="shared" si="65"/>
        <v>7.5972893473127256E-3</v>
      </c>
      <c r="V135" s="19">
        <f t="shared" si="54"/>
        <v>4.8751083944924998E-3</v>
      </c>
      <c r="W135" s="19">
        <f t="shared" si="55"/>
        <v>5.4047158378160015E-3</v>
      </c>
      <c r="X135" s="19">
        <f t="shared" si="56"/>
        <v>5.1806067221828603E-3</v>
      </c>
      <c r="Y135" s="19">
        <f t="shared" si="57"/>
        <v>0.99120296118484919</v>
      </c>
      <c r="Z135" s="91">
        <f t="shared" si="66"/>
        <v>7.6246381629603748E-3</v>
      </c>
      <c r="AA135" s="19">
        <f t="shared" si="59"/>
        <v>4.9560550156314649E-3</v>
      </c>
      <c r="AB135" s="19">
        <f t="shared" si="60"/>
        <v>7.283122274519086E-4</v>
      </c>
      <c r="AC135" s="19">
        <f t="shared" si="61"/>
        <v>5.0154320987654327E-3</v>
      </c>
      <c r="AD135" s="19">
        <f t="shared" si="62"/>
        <v>5.0220056305361645E-3</v>
      </c>
      <c r="AE135" s="23">
        <f>('Modelo AHP'!$U$37*aux!P135)+('Modelo AHP'!$U$38*aux!R135)+('Modelo AHP'!$U$39*aux!S135)</f>
        <v>3.3198036658391998E-3</v>
      </c>
      <c r="AF135" s="24">
        <f>aux!U135</f>
        <v>7.5972893473127256E-3</v>
      </c>
      <c r="AG135" s="23">
        <f>('Modelo AHP'!$U$47*aux!V135)+('Modelo AHP'!$U$48*aux!W135)+('Modelo AHP'!$U$49*aux!X135)</f>
        <v>5.228292950197274E-3</v>
      </c>
      <c r="AH135" s="24">
        <f t="shared" si="63"/>
        <v>7.6246381629603748E-3</v>
      </c>
      <c r="AI135" s="23">
        <f>('Modelo AHP'!$U$56*aux!AA135)+('Modelo AHP'!$U$57*aux!AB135)+('Modelo AHP'!$U$58*aux!AC135)+('Modelo AHP'!$U$59*aux!AD135)</f>
        <v>2.8897023671300669E-3</v>
      </c>
      <c r="AJ135" s="25">
        <f>('Modelo AHP'!$U$23*aux!AE135)+('Modelo AHP'!$U$24*aux!AF135)+('Modelo AHP'!$U$25*aux!AG135)+('Modelo AHP'!$U$26*aux!AH135)+('Modelo AHP'!$U$27*aux!AI135)</f>
        <v>5.635231441667523E-3</v>
      </c>
    </row>
  </sheetData>
  <autoFilter ref="A4:AJ4" xr:uid="{00000000-0009-0000-0000-000006000000}">
    <sortState xmlns:xlrd2="http://schemas.microsoft.com/office/spreadsheetml/2017/richdata2" ref="A5:AJ135">
      <sortCondition ref="A4"/>
    </sortState>
  </autoFilter>
  <sortState xmlns:xlrd2="http://schemas.microsoft.com/office/spreadsheetml/2017/richdata2" ref="A5:AJ135">
    <sortCondition ref="C5:C135"/>
  </sortState>
  <mergeCells count="9">
    <mergeCell ref="AA3:AD3"/>
    <mergeCell ref="Y3:Z3"/>
    <mergeCell ref="P2:AD2"/>
    <mergeCell ref="D3:F3"/>
    <mergeCell ref="P3:S3"/>
    <mergeCell ref="H3:J3"/>
    <mergeCell ref="V3:X3"/>
    <mergeCell ref="T3:U3"/>
    <mergeCell ref="L3:O3"/>
  </mergeCells>
  <conditionalFormatting sqref="A5:A135">
    <cfRule type="colorScale" priority="4">
      <colorScale>
        <cfvo type="min"/>
        <cfvo type="percentile" val="50"/>
        <cfvo type="max"/>
        <color rgb="FFFF0000"/>
        <color rgb="FFFFEB84"/>
        <color rgb="FF92D050"/>
      </colorScale>
    </cfRule>
  </conditionalFormatting>
  <conditionalFormatting sqref="A5:A135">
    <cfRule type="colorScale" priority="1">
      <colorScale>
        <cfvo type="min"/>
        <cfvo type="percentile" val="50"/>
        <cfvo type="max"/>
        <color rgb="FFFF0000"/>
        <color rgb="FFFFEB84"/>
        <color rgb="FF92D050"/>
      </colorScale>
    </cfRule>
  </conditionalFormatting>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2:S59"/>
  <sheetViews>
    <sheetView workbookViewId="0">
      <selection activeCell="C3" sqref="C3"/>
    </sheetView>
  </sheetViews>
  <sheetFormatPr baseColWidth="10" defaultRowHeight="15.75"/>
  <cols>
    <col min="2" max="2" width="11.625" bestFit="1" customWidth="1"/>
    <col min="19" max="19" width="11.625" bestFit="1" customWidth="1"/>
    <col min="21" max="21" width="11.625" bestFit="1" customWidth="1"/>
  </cols>
  <sheetData>
    <row r="2" spans="1:19" ht="16.5" thickBot="1"/>
    <row r="3" spans="1:19" ht="78.75">
      <c r="B3" s="120" t="s">
        <v>251</v>
      </c>
      <c r="C3" s="120" t="s">
        <v>14</v>
      </c>
      <c r="D3" s="120" t="s">
        <v>238</v>
      </c>
      <c r="E3" s="120" t="s">
        <v>210</v>
      </c>
      <c r="F3" s="120" t="s">
        <v>153</v>
      </c>
      <c r="G3" s="120" t="s">
        <v>254</v>
      </c>
      <c r="H3" s="120" t="s">
        <v>239</v>
      </c>
      <c r="I3" s="120" t="s">
        <v>257</v>
      </c>
      <c r="J3" s="120" t="s">
        <v>207</v>
      </c>
      <c r="K3" s="120" t="s">
        <v>209</v>
      </c>
      <c r="L3" s="120" t="s">
        <v>226</v>
      </c>
      <c r="M3" s="120" t="s">
        <v>227</v>
      </c>
      <c r="N3" s="120" t="s">
        <v>2</v>
      </c>
      <c r="O3" s="120" t="s">
        <v>3</v>
      </c>
      <c r="P3" s="120" t="s">
        <v>4</v>
      </c>
      <c r="Q3" s="120" t="s">
        <v>217</v>
      </c>
      <c r="R3" s="120" t="s">
        <v>220</v>
      </c>
      <c r="S3" s="120" t="s">
        <v>0</v>
      </c>
    </row>
    <row r="4" spans="1:19">
      <c r="A4" s="118" t="s">
        <v>251</v>
      </c>
      <c r="B4" s="121" t="e">
        <f>_xlfn.COVARIANCE.P(#REF!,#REF!)</f>
        <v>#REF!</v>
      </c>
      <c r="C4" s="118" t="e">
        <f>_xlfn.COVARIANCE.P(#REF!,#REF!)</f>
        <v>#REF!</v>
      </c>
      <c r="D4" s="118" t="e">
        <f>_xlfn.COVARIANCE.P(#REF!,#REF!)</f>
        <v>#REF!</v>
      </c>
      <c r="E4" s="118" t="e">
        <f>_xlfn.COVARIANCE.P(#REF!,#REF!)</f>
        <v>#REF!</v>
      </c>
      <c r="F4" s="118" t="e">
        <f>_xlfn.COVARIANCE.P(#REF!,#REF!)</f>
        <v>#REF!</v>
      </c>
      <c r="G4" s="118" t="e">
        <f>_xlfn.COVARIANCE.P(#REF!,#REF!)</f>
        <v>#REF!</v>
      </c>
      <c r="H4" s="118" t="e">
        <f>_xlfn.COVARIANCE.P(#REF!,#REF!)</f>
        <v>#REF!</v>
      </c>
      <c r="I4" s="118" t="e">
        <f>_xlfn.COVARIANCE.P(#REF!,#REF!)</f>
        <v>#REF!</v>
      </c>
      <c r="J4" s="118" t="e">
        <f>_xlfn.COVARIANCE.P(#REF!,#REF!)</f>
        <v>#REF!</v>
      </c>
      <c r="K4" s="118" t="e">
        <f>_xlfn.COVARIANCE.P(#REF!,#REF!)</f>
        <v>#REF!</v>
      </c>
      <c r="L4" s="118" t="e">
        <f>_xlfn.COVARIANCE.P(#REF!,#REF!)</f>
        <v>#REF!</v>
      </c>
      <c r="M4" s="118" t="e">
        <f>_xlfn.COVARIANCE.P(#REF!,#REF!)</f>
        <v>#REF!</v>
      </c>
      <c r="N4" s="118" t="e">
        <f>_xlfn.COVARIANCE.P(#REF!,#REF!)</f>
        <v>#REF!</v>
      </c>
      <c r="O4" s="118" t="e">
        <f>_xlfn.COVARIANCE.P(#REF!,#REF!)</f>
        <v>#REF!</v>
      </c>
      <c r="P4" s="118" t="e">
        <f>_xlfn.COVARIANCE.P(#REF!,#REF!)</f>
        <v>#REF!</v>
      </c>
      <c r="Q4" s="118" t="e">
        <f>_xlfn.COVARIANCE.P(#REF!,#REF!)</f>
        <v>#REF!</v>
      </c>
      <c r="R4" s="118" t="e">
        <f>_xlfn.COVARIANCE.P(#REF!,#REF!)</f>
        <v>#REF!</v>
      </c>
      <c r="S4" s="118" t="e">
        <f>_xlfn.COVARIANCE.P(#REF!,#REF!)</f>
        <v>#REF!</v>
      </c>
    </row>
    <row r="5" spans="1:19">
      <c r="A5" s="118" t="s">
        <v>14</v>
      </c>
      <c r="B5" s="118" t="e">
        <f>_xlfn.COVARIANCE.P(#REF!,#REF!)</f>
        <v>#REF!</v>
      </c>
      <c r="C5" s="121" t="e">
        <f>_xlfn.COVARIANCE.P(#REF!,#REF!)</f>
        <v>#REF!</v>
      </c>
      <c r="D5" s="118" t="e">
        <f>_xlfn.COVARIANCE.P(#REF!,#REF!)</f>
        <v>#REF!</v>
      </c>
      <c r="E5" s="118" t="e">
        <f>_xlfn.COVARIANCE.P(#REF!,#REF!)</f>
        <v>#REF!</v>
      </c>
      <c r="F5" s="118" t="e">
        <f>_xlfn.COVARIANCE.P(#REF!,#REF!)</f>
        <v>#REF!</v>
      </c>
      <c r="G5" s="118" t="e">
        <f>_xlfn.COVARIANCE.P(#REF!,#REF!)</f>
        <v>#REF!</v>
      </c>
      <c r="H5" s="118" t="e">
        <f>_xlfn.COVARIANCE.P(#REF!,#REF!)</f>
        <v>#REF!</v>
      </c>
      <c r="I5" s="118" t="e">
        <f>_xlfn.COVARIANCE.P(#REF!,#REF!)</f>
        <v>#REF!</v>
      </c>
      <c r="J5" s="118" t="e">
        <f>_xlfn.COVARIANCE.P(#REF!,#REF!)</f>
        <v>#REF!</v>
      </c>
      <c r="K5" s="118" t="e">
        <f>_xlfn.COVARIANCE.P(#REF!,#REF!)</f>
        <v>#REF!</v>
      </c>
      <c r="L5" s="118" t="e">
        <f>_xlfn.COVARIANCE.P(#REF!,#REF!)</f>
        <v>#REF!</v>
      </c>
      <c r="M5" s="118" t="e">
        <f>_xlfn.COVARIANCE.P(#REF!,#REF!)</f>
        <v>#REF!</v>
      </c>
      <c r="N5" s="118" t="e">
        <f>_xlfn.COVARIANCE.P(#REF!,#REF!)</f>
        <v>#REF!</v>
      </c>
      <c r="O5" s="118" t="e">
        <f>_xlfn.COVARIANCE.P(#REF!,#REF!)</f>
        <v>#REF!</v>
      </c>
      <c r="P5" s="118" t="e">
        <f>_xlfn.COVARIANCE.P(#REF!,#REF!)</f>
        <v>#REF!</v>
      </c>
      <c r="Q5" s="118" t="e">
        <f>_xlfn.COVARIANCE.P(#REF!,#REF!)</f>
        <v>#REF!</v>
      </c>
      <c r="R5" s="118" t="e">
        <f>_xlfn.COVARIANCE.P(#REF!,#REF!)</f>
        <v>#REF!</v>
      </c>
      <c r="S5" s="118" t="e">
        <f>_xlfn.COVARIANCE.P(#REF!,#REF!)</f>
        <v>#REF!</v>
      </c>
    </row>
    <row r="6" spans="1:19">
      <c r="A6" s="118" t="s">
        <v>238</v>
      </c>
      <c r="B6" s="118" t="e">
        <f>_xlfn.COVARIANCE.P(#REF!,#REF!)</f>
        <v>#REF!</v>
      </c>
      <c r="C6" s="118" t="e">
        <f>_xlfn.COVARIANCE.P(#REF!,#REF!)</f>
        <v>#REF!</v>
      </c>
      <c r="D6" s="121" t="e">
        <f>_xlfn.COVARIANCE.P(#REF!,#REF!)</f>
        <v>#REF!</v>
      </c>
      <c r="E6" s="118" t="e">
        <f>_xlfn.COVARIANCE.P(#REF!,#REF!)</f>
        <v>#REF!</v>
      </c>
      <c r="F6" s="118" t="e">
        <f>_xlfn.COVARIANCE.P(#REF!,#REF!)</f>
        <v>#REF!</v>
      </c>
      <c r="G6" s="118" t="e">
        <f>_xlfn.COVARIANCE.P(#REF!,#REF!)</f>
        <v>#REF!</v>
      </c>
      <c r="H6" s="118" t="e">
        <f>_xlfn.COVARIANCE.P(#REF!,#REF!)</f>
        <v>#REF!</v>
      </c>
      <c r="I6" s="118" t="e">
        <f>_xlfn.COVARIANCE.P(#REF!,#REF!)</f>
        <v>#REF!</v>
      </c>
      <c r="J6" s="118" t="e">
        <f>_xlfn.COVARIANCE.P(#REF!,#REF!)</f>
        <v>#REF!</v>
      </c>
      <c r="K6" s="118" t="e">
        <f>_xlfn.COVARIANCE.P(#REF!,#REF!)</f>
        <v>#REF!</v>
      </c>
      <c r="L6" s="118" t="e">
        <f>_xlfn.COVARIANCE.P(#REF!,#REF!)</f>
        <v>#REF!</v>
      </c>
      <c r="M6" s="118" t="e">
        <f>_xlfn.COVARIANCE.P(#REF!,#REF!)</f>
        <v>#REF!</v>
      </c>
      <c r="N6" s="118" t="e">
        <f>_xlfn.COVARIANCE.P(#REF!,#REF!)</f>
        <v>#REF!</v>
      </c>
      <c r="O6" s="118" t="e">
        <f>_xlfn.COVARIANCE.P(#REF!,#REF!)</f>
        <v>#REF!</v>
      </c>
      <c r="P6" s="118" t="e">
        <f>_xlfn.COVARIANCE.P(#REF!,#REF!)</f>
        <v>#REF!</v>
      </c>
      <c r="Q6" s="118" t="e">
        <f>_xlfn.COVARIANCE.P(#REF!,#REF!)</f>
        <v>#REF!</v>
      </c>
      <c r="R6" s="118" t="e">
        <f>_xlfn.COVARIANCE.P(#REF!,#REF!)</f>
        <v>#REF!</v>
      </c>
      <c r="S6" s="118" t="e">
        <f>_xlfn.COVARIANCE.P(#REF!,#REF!)</f>
        <v>#REF!</v>
      </c>
    </row>
    <row r="7" spans="1:19">
      <c r="A7" s="118" t="s">
        <v>210</v>
      </c>
      <c r="B7" s="118" t="e">
        <f>_xlfn.COVARIANCE.P(#REF!,#REF!)</f>
        <v>#REF!</v>
      </c>
      <c r="C7" s="118" t="e">
        <f>_xlfn.COVARIANCE.P(#REF!,#REF!)</f>
        <v>#REF!</v>
      </c>
      <c r="D7" s="118" t="e">
        <f>_xlfn.COVARIANCE.P(#REF!,#REF!)</f>
        <v>#REF!</v>
      </c>
      <c r="E7" s="121" t="e">
        <f>_xlfn.COVARIANCE.P(#REF!,#REF!)</f>
        <v>#REF!</v>
      </c>
      <c r="F7" s="118" t="e">
        <f>_xlfn.COVARIANCE.P(#REF!,#REF!)</f>
        <v>#REF!</v>
      </c>
      <c r="G7" s="118" t="e">
        <f>_xlfn.COVARIANCE.P(#REF!,#REF!)</f>
        <v>#REF!</v>
      </c>
      <c r="H7" s="118" t="e">
        <f>_xlfn.COVARIANCE.P(#REF!,#REF!)</f>
        <v>#REF!</v>
      </c>
      <c r="I7" s="118" t="e">
        <f>_xlfn.COVARIANCE.P(#REF!,#REF!)</f>
        <v>#REF!</v>
      </c>
      <c r="J7" s="118" t="e">
        <f>_xlfn.COVARIANCE.P(#REF!,#REF!)</f>
        <v>#REF!</v>
      </c>
      <c r="K7" s="118" t="e">
        <f>_xlfn.COVARIANCE.P(#REF!,#REF!)</f>
        <v>#REF!</v>
      </c>
      <c r="L7" s="118" t="e">
        <f>_xlfn.COVARIANCE.P(#REF!,#REF!)</f>
        <v>#REF!</v>
      </c>
      <c r="M7" s="118" t="e">
        <f>_xlfn.COVARIANCE.P(#REF!,#REF!)</f>
        <v>#REF!</v>
      </c>
      <c r="N7" s="118" t="e">
        <f>_xlfn.COVARIANCE.P(#REF!,#REF!)</f>
        <v>#REF!</v>
      </c>
      <c r="O7" s="118" t="e">
        <f>_xlfn.COVARIANCE.P(#REF!,#REF!)</f>
        <v>#REF!</v>
      </c>
      <c r="P7" s="118" t="e">
        <f>_xlfn.COVARIANCE.P(#REF!,#REF!)</f>
        <v>#REF!</v>
      </c>
      <c r="Q7" s="118" t="e">
        <f>_xlfn.COVARIANCE.P(#REF!,#REF!)</f>
        <v>#REF!</v>
      </c>
      <c r="R7" s="118" t="e">
        <f>_xlfn.COVARIANCE.P(#REF!,#REF!)</f>
        <v>#REF!</v>
      </c>
      <c r="S7" s="118" t="e">
        <f>_xlfn.COVARIANCE.P(#REF!,#REF!)</f>
        <v>#REF!</v>
      </c>
    </row>
    <row r="8" spans="1:19">
      <c r="A8" s="118" t="s">
        <v>153</v>
      </c>
      <c r="B8" s="118" t="e">
        <f>_xlfn.COVARIANCE.P(#REF!,#REF!)</f>
        <v>#REF!</v>
      </c>
      <c r="C8" s="118" t="e">
        <f>_xlfn.COVARIANCE.P(#REF!,#REF!)</f>
        <v>#REF!</v>
      </c>
      <c r="D8" s="118" t="e">
        <f>_xlfn.COVARIANCE.P(#REF!,#REF!)</f>
        <v>#REF!</v>
      </c>
      <c r="E8" s="118" t="e">
        <f>_xlfn.COVARIANCE.P(#REF!,#REF!)</f>
        <v>#REF!</v>
      </c>
      <c r="F8" s="121" t="e">
        <f>_xlfn.COVARIANCE.P(#REF!,#REF!)</f>
        <v>#REF!</v>
      </c>
      <c r="G8" s="118" t="e">
        <f>_xlfn.COVARIANCE.P(#REF!,#REF!)</f>
        <v>#REF!</v>
      </c>
      <c r="H8" s="118" t="e">
        <f>_xlfn.COVARIANCE.P(#REF!,#REF!)</f>
        <v>#REF!</v>
      </c>
      <c r="I8" s="118" t="e">
        <f>_xlfn.COVARIANCE.P(#REF!,#REF!)</f>
        <v>#REF!</v>
      </c>
      <c r="J8" s="118" t="e">
        <f>_xlfn.COVARIANCE.P(#REF!,#REF!)</f>
        <v>#REF!</v>
      </c>
      <c r="K8" s="118" t="e">
        <f>_xlfn.COVARIANCE.P(#REF!,#REF!)</f>
        <v>#REF!</v>
      </c>
      <c r="L8" s="118" t="e">
        <f>_xlfn.COVARIANCE.P(#REF!,#REF!)</f>
        <v>#REF!</v>
      </c>
      <c r="M8" s="118" t="e">
        <f>_xlfn.COVARIANCE.P(#REF!,#REF!)</f>
        <v>#REF!</v>
      </c>
      <c r="N8" s="118" t="e">
        <f>_xlfn.COVARIANCE.P(#REF!,#REF!)</f>
        <v>#REF!</v>
      </c>
      <c r="O8" s="118" t="e">
        <f>_xlfn.COVARIANCE.P(#REF!,#REF!)</f>
        <v>#REF!</v>
      </c>
      <c r="P8" s="118" t="e">
        <f>_xlfn.COVARIANCE.P(#REF!,#REF!)</f>
        <v>#REF!</v>
      </c>
      <c r="Q8" s="118" t="e">
        <f>_xlfn.COVARIANCE.P(#REF!,#REF!)</f>
        <v>#REF!</v>
      </c>
      <c r="R8" s="118" t="e">
        <f>_xlfn.COVARIANCE.P(#REF!,#REF!)</f>
        <v>#REF!</v>
      </c>
      <c r="S8" s="118" t="e">
        <f>_xlfn.COVARIANCE.P(#REF!,#REF!)</f>
        <v>#REF!</v>
      </c>
    </row>
    <row r="9" spans="1:19">
      <c r="A9" s="118" t="s">
        <v>254</v>
      </c>
      <c r="B9" s="118" t="e">
        <f>_xlfn.COVARIANCE.P(#REF!,#REF!)</f>
        <v>#REF!</v>
      </c>
      <c r="C9" s="118" t="e">
        <f>_xlfn.COVARIANCE.P(#REF!,#REF!)</f>
        <v>#REF!</v>
      </c>
      <c r="D9" s="118" t="e">
        <f>_xlfn.COVARIANCE.P(#REF!,#REF!)</f>
        <v>#REF!</v>
      </c>
      <c r="E9" s="118" t="e">
        <f>_xlfn.COVARIANCE.P(#REF!,#REF!)</f>
        <v>#REF!</v>
      </c>
      <c r="F9" s="118" t="e">
        <f>_xlfn.COVARIANCE.P(#REF!,#REF!)</f>
        <v>#REF!</v>
      </c>
      <c r="G9" s="121" t="e">
        <f>_xlfn.COVARIANCE.P(#REF!,#REF!)</f>
        <v>#REF!</v>
      </c>
      <c r="H9" s="118" t="e">
        <f>_xlfn.COVARIANCE.P(#REF!,#REF!)</f>
        <v>#REF!</v>
      </c>
      <c r="I9" s="118" t="e">
        <f>_xlfn.COVARIANCE.P(#REF!,#REF!)</f>
        <v>#REF!</v>
      </c>
      <c r="J9" s="118" t="e">
        <f>_xlfn.COVARIANCE.P(#REF!,#REF!)</f>
        <v>#REF!</v>
      </c>
      <c r="K9" s="118" t="e">
        <f>_xlfn.COVARIANCE.P(#REF!,#REF!)</f>
        <v>#REF!</v>
      </c>
      <c r="L9" s="118" t="e">
        <f>_xlfn.COVARIANCE.P(#REF!,#REF!)</f>
        <v>#REF!</v>
      </c>
      <c r="M9" s="118" t="e">
        <f>_xlfn.COVARIANCE.P(#REF!,#REF!)</f>
        <v>#REF!</v>
      </c>
      <c r="N9" s="118" t="e">
        <f>_xlfn.COVARIANCE.P(#REF!,#REF!)</f>
        <v>#REF!</v>
      </c>
      <c r="O9" s="118" t="e">
        <f>_xlfn.COVARIANCE.P(#REF!,#REF!)</f>
        <v>#REF!</v>
      </c>
      <c r="P9" s="118" t="e">
        <f>_xlfn.COVARIANCE.P(#REF!,#REF!)</f>
        <v>#REF!</v>
      </c>
      <c r="Q9" s="118" t="e">
        <f>_xlfn.COVARIANCE.P(#REF!,#REF!)</f>
        <v>#REF!</v>
      </c>
      <c r="R9" s="118" t="e">
        <f>_xlfn.COVARIANCE.P(#REF!,#REF!)</f>
        <v>#REF!</v>
      </c>
      <c r="S9" s="118" t="e">
        <f>_xlfn.COVARIANCE.P(#REF!,#REF!)</f>
        <v>#REF!</v>
      </c>
    </row>
    <row r="10" spans="1:19">
      <c r="A10" s="118" t="s">
        <v>239</v>
      </c>
      <c r="B10" s="118" t="e">
        <f>_xlfn.COVARIANCE.P(#REF!,#REF!)</f>
        <v>#REF!</v>
      </c>
      <c r="C10" s="118" t="e">
        <f>_xlfn.COVARIANCE.P(#REF!,#REF!)</f>
        <v>#REF!</v>
      </c>
      <c r="D10" s="118" t="e">
        <f>_xlfn.COVARIANCE.P(#REF!,#REF!)</f>
        <v>#REF!</v>
      </c>
      <c r="E10" s="118" t="e">
        <f>_xlfn.COVARIANCE.P(#REF!,#REF!)</f>
        <v>#REF!</v>
      </c>
      <c r="F10" s="118" t="e">
        <f>_xlfn.COVARIANCE.P(#REF!,#REF!)</f>
        <v>#REF!</v>
      </c>
      <c r="G10" s="118" t="e">
        <f>_xlfn.COVARIANCE.P(#REF!,#REF!)</f>
        <v>#REF!</v>
      </c>
      <c r="H10" s="121" t="e">
        <f>_xlfn.COVARIANCE.P(#REF!,#REF!)</f>
        <v>#REF!</v>
      </c>
      <c r="I10" s="118" t="e">
        <f>_xlfn.COVARIANCE.P(#REF!,#REF!)</f>
        <v>#REF!</v>
      </c>
      <c r="J10" s="118" t="e">
        <f>_xlfn.COVARIANCE.P(#REF!,#REF!)</f>
        <v>#REF!</v>
      </c>
      <c r="K10" s="118" t="e">
        <f>_xlfn.COVARIANCE.P(#REF!,#REF!)</f>
        <v>#REF!</v>
      </c>
      <c r="L10" s="118" t="e">
        <f>_xlfn.COVARIANCE.P(#REF!,#REF!)</f>
        <v>#REF!</v>
      </c>
      <c r="M10" s="118" t="e">
        <f>_xlfn.COVARIANCE.P(#REF!,#REF!)</f>
        <v>#REF!</v>
      </c>
      <c r="N10" s="118" t="e">
        <f>_xlfn.COVARIANCE.P(#REF!,#REF!)</f>
        <v>#REF!</v>
      </c>
      <c r="O10" s="118" t="e">
        <f>_xlfn.COVARIANCE.P(#REF!,#REF!)</f>
        <v>#REF!</v>
      </c>
      <c r="P10" s="118" t="e">
        <f>_xlfn.COVARIANCE.P(#REF!,#REF!)</f>
        <v>#REF!</v>
      </c>
      <c r="Q10" s="118" t="e">
        <f>_xlfn.COVARIANCE.P(#REF!,#REF!)</f>
        <v>#REF!</v>
      </c>
      <c r="R10" s="118" t="e">
        <f>_xlfn.COVARIANCE.P(#REF!,#REF!)</f>
        <v>#REF!</v>
      </c>
      <c r="S10" s="118" t="e">
        <f>_xlfn.COVARIANCE.P(#REF!,#REF!)</f>
        <v>#REF!</v>
      </c>
    </row>
    <row r="11" spans="1:19">
      <c r="A11" s="118" t="s">
        <v>257</v>
      </c>
      <c r="B11" s="118" t="e">
        <f>_xlfn.COVARIANCE.P(#REF!,#REF!)</f>
        <v>#REF!</v>
      </c>
      <c r="C11" s="118" t="e">
        <f>_xlfn.COVARIANCE.P(#REF!,#REF!)</f>
        <v>#REF!</v>
      </c>
      <c r="D11" s="118" t="e">
        <f>_xlfn.COVARIANCE.P(#REF!,#REF!)</f>
        <v>#REF!</v>
      </c>
      <c r="E11" s="118" t="e">
        <f>_xlfn.COVARIANCE.P(#REF!,#REF!)</f>
        <v>#REF!</v>
      </c>
      <c r="F11" s="118" t="e">
        <f>_xlfn.COVARIANCE.P(#REF!,#REF!)</f>
        <v>#REF!</v>
      </c>
      <c r="G11" s="118" t="e">
        <f>_xlfn.COVARIANCE.P(#REF!,#REF!)</f>
        <v>#REF!</v>
      </c>
      <c r="H11" s="118" t="e">
        <f>_xlfn.COVARIANCE.P(#REF!,#REF!)</f>
        <v>#REF!</v>
      </c>
      <c r="I11" s="121" t="e">
        <f>_xlfn.COVARIANCE.P(#REF!,#REF!)</f>
        <v>#REF!</v>
      </c>
      <c r="J11" s="118" t="e">
        <f>_xlfn.COVARIANCE.P(#REF!,#REF!)</f>
        <v>#REF!</v>
      </c>
      <c r="K11" s="118" t="e">
        <f>_xlfn.COVARIANCE.P(#REF!,#REF!)</f>
        <v>#REF!</v>
      </c>
      <c r="L11" s="118" t="e">
        <f>_xlfn.COVARIANCE.P(#REF!,#REF!)</f>
        <v>#REF!</v>
      </c>
      <c r="M11" s="118" t="e">
        <f>_xlfn.COVARIANCE.P(#REF!,#REF!)</f>
        <v>#REF!</v>
      </c>
      <c r="N11" s="118" t="e">
        <f>_xlfn.COVARIANCE.P(#REF!,#REF!)</f>
        <v>#REF!</v>
      </c>
      <c r="O11" s="118" t="e">
        <f>_xlfn.COVARIANCE.P(#REF!,#REF!)</f>
        <v>#REF!</v>
      </c>
      <c r="P11" s="118" t="e">
        <f>_xlfn.COVARIANCE.P(#REF!,#REF!)</f>
        <v>#REF!</v>
      </c>
      <c r="Q11" s="118" t="e">
        <f>_xlfn.COVARIANCE.P(#REF!,#REF!)</f>
        <v>#REF!</v>
      </c>
      <c r="R11" s="118" t="e">
        <f>_xlfn.COVARIANCE.P(#REF!,#REF!)</f>
        <v>#REF!</v>
      </c>
      <c r="S11" s="118" t="e">
        <f>_xlfn.COVARIANCE.P(#REF!,#REF!)</f>
        <v>#REF!</v>
      </c>
    </row>
    <row r="12" spans="1:19">
      <c r="A12" s="118" t="s">
        <v>207</v>
      </c>
      <c r="B12" s="118" t="e">
        <f>_xlfn.COVARIANCE.P(#REF!,#REF!)</f>
        <v>#REF!</v>
      </c>
      <c r="C12" s="118" t="e">
        <f>_xlfn.COVARIANCE.P(#REF!,#REF!)</f>
        <v>#REF!</v>
      </c>
      <c r="D12" s="118" t="e">
        <f>_xlfn.COVARIANCE.P(#REF!,#REF!)</f>
        <v>#REF!</v>
      </c>
      <c r="E12" s="118" t="e">
        <f>_xlfn.COVARIANCE.P(#REF!,#REF!)</f>
        <v>#REF!</v>
      </c>
      <c r="F12" s="118" t="e">
        <f>_xlfn.COVARIANCE.P(#REF!,#REF!)</f>
        <v>#REF!</v>
      </c>
      <c r="G12" s="118" t="e">
        <f>_xlfn.COVARIANCE.P(#REF!,#REF!)</f>
        <v>#REF!</v>
      </c>
      <c r="H12" s="118" t="e">
        <f>_xlfn.COVARIANCE.P(#REF!,#REF!)</f>
        <v>#REF!</v>
      </c>
      <c r="I12" s="118" t="e">
        <f>_xlfn.COVARIANCE.P(#REF!,#REF!)</f>
        <v>#REF!</v>
      </c>
      <c r="J12" s="121" t="e">
        <f>_xlfn.COVARIANCE.P(#REF!,#REF!)</f>
        <v>#REF!</v>
      </c>
      <c r="K12" s="118" t="e">
        <f>_xlfn.COVARIANCE.P(#REF!,#REF!)</f>
        <v>#REF!</v>
      </c>
      <c r="L12" s="118" t="e">
        <f>_xlfn.COVARIANCE.P(#REF!,#REF!)</f>
        <v>#REF!</v>
      </c>
      <c r="M12" s="118" t="e">
        <f>_xlfn.COVARIANCE.P(#REF!,#REF!)</f>
        <v>#REF!</v>
      </c>
      <c r="N12" s="118" t="e">
        <f>_xlfn.COVARIANCE.P(#REF!,#REF!)</f>
        <v>#REF!</v>
      </c>
      <c r="O12" s="118" t="e">
        <f>_xlfn.COVARIANCE.P(#REF!,#REF!)</f>
        <v>#REF!</v>
      </c>
      <c r="P12" s="118" t="e">
        <f>_xlfn.COVARIANCE.P(#REF!,#REF!)</f>
        <v>#REF!</v>
      </c>
      <c r="Q12" s="118" t="e">
        <f>_xlfn.COVARIANCE.P(#REF!,#REF!)</f>
        <v>#REF!</v>
      </c>
      <c r="R12" s="118" t="e">
        <f>_xlfn.COVARIANCE.P(#REF!,#REF!)</f>
        <v>#REF!</v>
      </c>
      <c r="S12" s="118" t="e">
        <f>_xlfn.COVARIANCE.P(#REF!,#REF!)</f>
        <v>#REF!</v>
      </c>
    </row>
    <row r="13" spans="1:19">
      <c r="A13" s="118" t="s">
        <v>209</v>
      </c>
      <c r="B13" s="118" t="e">
        <f>_xlfn.COVARIANCE.P(#REF!,#REF!)</f>
        <v>#REF!</v>
      </c>
      <c r="C13" s="118" t="e">
        <f>_xlfn.COVARIANCE.P(#REF!,#REF!)</f>
        <v>#REF!</v>
      </c>
      <c r="D13" s="118" t="e">
        <f>_xlfn.COVARIANCE.P(#REF!,#REF!)</f>
        <v>#REF!</v>
      </c>
      <c r="E13" s="118" t="e">
        <f>_xlfn.COVARIANCE.P(#REF!,#REF!)</f>
        <v>#REF!</v>
      </c>
      <c r="F13" s="118" t="e">
        <f>_xlfn.COVARIANCE.P(#REF!,#REF!)</f>
        <v>#REF!</v>
      </c>
      <c r="G13" s="118" t="e">
        <f>_xlfn.COVARIANCE.P(#REF!,#REF!)</f>
        <v>#REF!</v>
      </c>
      <c r="H13" s="118" t="e">
        <f>_xlfn.COVARIANCE.P(#REF!,#REF!)</f>
        <v>#REF!</v>
      </c>
      <c r="I13" s="118" t="e">
        <f>_xlfn.COVARIANCE.P(#REF!,#REF!)</f>
        <v>#REF!</v>
      </c>
      <c r="J13" s="118" t="e">
        <f>_xlfn.COVARIANCE.P(#REF!,#REF!)</f>
        <v>#REF!</v>
      </c>
      <c r="K13" s="121" t="e">
        <f>_xlfn.COVARIANCE.P(#REF!,#REF!)</f>
        <v>#REF!</v>
      </c>
      <c r="L13" s="118" t="e">
        <f>_xlfn.COVARIANCE.P(#REF!,#REF!)</f>
        <v>#REF!</v>
      </c>
      <c r="M13" s="118" t="e">
        <f>_xlfn.COVARIANCE.P(#REF!,#REF!)</f>
        <v>#REF!</v>
      </c>
      <c r="N13" s="118" t="e">
        <f>_xlfn.COVARIANCE.P(#REF!,#REF!)</f>
        <v>#REF!</v>
      </c>
      <c r="O13" s="118" t="e">
        <f>_xlfn.COVARIANCE.P(#REF!,#REF!)</f>
        <v>#REF!</v>
      </c>
      <c r="P13" s="118" t="e">
        <f>_xlfn.COVARIANCE.P(#REF!,#REF!)</f>
        <v>#REF!</v>
      </c>
      <c r="Q13" s="118" t="e">
        <f>_xlfn.COVARIANCE.P(#REF!,#REF!)</f>
        <v>#REF!</v>
      </c>
      <c r="R13" s="118" t="e">
        <f>_xlfn.COVARIANCE.P(#REF!,#REF!)</f>
        <v>#REF!</v>
      </c>
      <c r="S13" s="118" t="e">
        <f>_xlfn.COVARIANCE.P(#REF!,#REF!)</f>
        <v>#REF!</v>
      </c>
    </row>
    <row r="14" spans="1:19">
      <c r="A14" s="118" t="s">
        <v>226</v>
      </c>
      <c r="B14" s="118" t="e">
        <f>_xlfn.COVARIANCE.P(#REF!,#REF!)</f>
        <v>#REF!</v>
      </c>
      <c r="C14" s="118" t="e">
        <f>_xlfn.COVARIANCE.P(#REF!,#REF!)</f>
        <v>#REF!</v>
      </c>
      <c r="D14" s="118" t="e">
        <f>_xlfn.COVARIANCE.P(#REF!,#REF!)</f>
        <v>#REF!</v>
      </c>
      <c r="E14" s="118" t="e">
        <f>_xlfn.COVARIANCE.P(#REF!,#REF!)</f>
        <v>#REF!</v>
      </c>
      <c r="F14" s="118" t="e">
        <f>_xlfn.COVARIANCE.P(#REF!,#REF!)</f>
        <v>#REF!</v>
      </c>
      <c r="G14" s="118" t="e">
        <f>_xlfn.COVARIANCE.P(#REF!,#REF!)</f>
        <v>#REF!</v>
      </c>
      <c r="H14" s="118" t="e">
        <f>_xlfn.COVARIANCE.P(#REF!,#REF!)</f>
        <v>#REF!</v>
      </c>
      <c r="I14" s="118" t="e">
        <f>_xlfn.COVARIANCE.P(#REF!,#REF!)</f>
        <v>#REF!</v>
      </c>
      <c r="J14" s="118" t="e">
        <f>_xlfn.COVARIANCE.P(#REF!,#REF!)</f>
        <v>#REF!</v>
      </c>
      <c r="K14" s="118" t="e">
        <f>_xlfn.COVARIANCE.P(#REF!,#REF!)</f>
        <v>#REF!</v>
      </c>
      <c r="L14" s="121" t="e">
        <f>_xlfn.COVARIANCE.P(#REF!,#REF!)</f>
        <v>#REF!</v>
      </c>
      <c r="M14" s="118" t="e">
        <f>_xlfn.COVARIANCE.P(#REF!,#REF!)</f>
        <v>#REF!</v>
      </c>
      <c r="N14" s="118" t="e">
        <f>_xlfn.COVARIANCE.P(#REF!,#REF!)</f>
        <v>#REF!</v>
      </c>
      <c r="O14" s="118" t="e">
        <f>_xlfn.COVARIANCE.P(#REF!,#REF!)</f>
        <v>#REF!</v>
      </c>
      <c r="P14" s="118" t="e">
        <f>_xlfn.COVARIANCE.P(#REF!,#REF!)</f>
        <v>#REF!</v>
      </c>
      <c r="Q14" s="118" t="e">
        <f>_xlfn.COVARIANCE.P(#REF!,#REF!)</f>
        <v>#REF!</v>
      </c>
      <c r="R14" s="118" t="e">
        <f>_xlfn.COVARIANCE.P(#REF!,#REF!)</f>
        <v>#REF!</v>
      </c>
      <c r="S14" s="118" t="e">
        <f>_xlfn.COVARIANCE.P(#REF!,#REF!)</f>
        <v>#REF!</v>
      </c>
    </row>
    <row r="15" spans="1:19">
      <c r="A15" s="118" t="s">
        <v>227</v>
      </c>
      <c r="B15" s="118" t="e">
        <f>_xlfn.COVARIANCE.P(#REF!,#REF!)</f>
        <v>#REF!</v>
      </c>
      <c r="C15" s="118" t="e">
        <f>_xlfn.COVARIANCE.P(#REF!,#REF!)</f>
        <v>#REF!</v>
      </c>
      <c r="D15" s="118" t="e">
        <f>_xlfn.COVARIANCE.P(#REF!,#REF!)</f>
        <v>#REF!</v>
      </c>
      <c r="E15" s="118" t="e">
        <f>_xlfn.COVARIANCE.P(#REF!,#REF!)</f>
        <v>#REF!</v>
      </c>
      <c r="F15" s="118" t="e">
        <f>_xlfn.COVARIANCE.P(#REF!,#REF!)</f>
        <v>#REF!</v>
      </c>
      <c r="G15" s="118" t="e">
        <f>_xlfn.COVARIANCE.P(#REF!,#REF!)</f>
        <v>#REF!</v>
      </c>
      <c r="H15" s="118" t="e">
        <f>_xlfn.COVARIANCE.P(#REF!,#REF!)</f>
        <v>#REF!</v>
      </c>
      <c r="I15" s="118" t="e">
        <f>_xlfn.COVARIANCE.P(#REF!,#REF!)</f>
        <v>#REF!</v>
      </c>
      <c r="J15" s="118" t="e">
        <f>_xlfn.COVARIANCE.P(#REF!,#REF!)</f>
        <v>#REF!</v>
      </c>
      <c r="K15" s="118" t="e">
        <f>_xlfn.COVARIANCE.P(#REF!,#REF!)</f>
        <v>#REF!</v>
      </c>
      <c r="L15" s="118" t="e">
        <f>_xlfn.COVARIANCE.P(#REF!,#REF!)</f>
        <v>#REF!</v>
      </c>
      <c r="M15" s="121" t="e">
        <f>_xlfn.COVARIANCE.P(#REF!,#REF!)</f>
        <v>#REF!</v>
      </c>
      <c r="N15" s="118" t="e">
        <f>_xlfn.COVARIANCE.P(#REF!,#REF!)</f>
        <v>#REF!</v>
      </c>
      <c r="O15" s="118" t="e">
        <f>_xlfn.COVARIANCE.P(#REF!,#REF!)</f>
        <v>#REF!</v>
      </c>
      <c r="P15" s="118" t="e">
        <f>_xlfn.COVARIANCE.P(#REF!,#REF!)</f>
        <v>#REF!</v>
      </c>
      <c r="Q15" s="118" t="e">
        <f>_xlfn.COVARIANCE.P(#REF!,#REF!)</f>
        <v>#REF!</v>
      </c>
      <c r="R15" s="118" t="e">
        <f>_xlfn.COVARIANCE.P(#REF!,#REF!)</f>
        <v>#REF!</v>
      </c>
      <c r="S15" s="118" t="e">
        <f>_xlfn.COVARIANCE.P(#REF!,#REF!)</f>
        <v>#REF!</v>
      </c>
    </row>
    <row r="16" spans="1:19">
      <c r="A16" s="118" t="s">
        <v>2</v>
      </c>
      <c r="B16" s="118" t="e">
        <f>_xlfn.COVARIANCE.P(#REF!,#REF!)</f>
        <v>#REF!</v>
      </c>
      <c r="C16" s="118" t="e">
        <f>_xlfn.COVARIANCE.P(#REF!,#REF!)</f>
        <v>#REF!</v>
      </c>
      <c r="D16" s="118" t="e">
        <f>_xlfn.COVARIANCE.P(#REF!,#REF!)</f>
        <v>#REF!</v>
      </c>
      <c r="E16" s="118" t="e">
        <f>_xlfn.COVARIANCE.P(#REF!,#REF!)</f>
        <v>#REF!</v>
      </c>
      <c r="F16" s="118" t="e">
        <f>_xlfn.COVARIANCE.P(#REF!,#REF!)</f>
        <v>#REF!</v>
      </c>
      <c r="G16" s="118" t="e">
        <f>_xlfn.COVARIANCE.P(#REF!,#REF!)</f>
        <v>#REF!</v>
      </c>
      <c r="H16" s="118" t="e">
        <f>_xlfn.COVARIANCE.P(#REF!,#REF!)</f>
        <v>#REF!</v>
      </c>
      <c r="I16" s="118" t="e">
        <f>_xlfn.COVARIANCE.P(#REF!,#REF!)</f>
        <v>#REF!</v>
      </c>
      <c r="J16" s="118" t="e">
        <f>_xlfn.COVARIANCE.P(#REF!,#REF!)</f>
        <v>#REF!</v>
      </c>
      <c r="K16" s="118" t="e">
        <f>_xlfn.COVARIANCE.P(#REF!,#REF!)</f>
        <v>#REF!</v>
      </c>
      <c r="L16" s="118" t="e">
        <f>_xlfn.COVARIANCE.P(#REF!,#REF!)</f>
        <v>#REF!</v>
      </c>
      <c r="M16" s="118" t="e">
        <f>_xlfn.COVARIANCE.P(#REF!,#REF!)</f>
        <v>#REF!</v>
      </c>
      <c r="N16" s="121" t="e">
        <f>_xlfn.COVARIANCE.P(#REF!,#REF!)</f>
        <v>#REF!</v>
      </c>
      <c r="O16" s="118" t="e">
        <f>_xlfn.COVARIANCE.P(#REF!,#REF!)</f>
        <v>#REF!</v>
      </c>
      <c r="P16" s="118" t="e">
        <f>_xlfn.COVARIANCE.P(#REF!,#REF!)</f>
        <v>#REF!</v>
      </c>
      <c r="Q16" s="118" t="e">
        <f>_xlfn.COVARIANCE.P(#REF!,#REF!)</f>
        <v>#REF!</v>
      </c>
      <c r="R16" s="118" t="e">
        <f>_xlfn.COVARIANCE.P(#REF!,#REF!)</f>
        <v>#REF!</v>
      </c>
      <c r="S16" s="118" t="e">
        <f>_xlfn.COVARIANCE.P(#REF!,#REF!)</f>
        <v>#REF!</v>
      </c>
    </row>
    <row r="17" spans="1:19">
      <c r="A17" s="118" t="s">
        <v>3</v>
      </c>
      <c r="B17" s="118" t="e">
        <f>_xlfn.COVARIANCE.P(#REF!,#REF!)</f>
        <v>#REF!</v>
      </c>
      <c r="C17" s="118" t="e">
        <f>_xlfn.COVARIANCE.P(#REF!,#REF!)</f>
        <v>#REF!</v>
      </c>
      <c r="D17" s="118" t="e">
        <f>_xlfn.COVARIANCE.P(#REF!,#REF!)</f>
        <v>#REF!</v>
      </c>
      <c r="E17" s="118" t="e">
        <f>_xlfn.COVARIANCE.P(#REF!,#REF!)</f>
        <v>#REF!</v>
      </c>
      <c r="F17" s="118" t="e">
        <f>_xlfn.COVARIANCE.P(#REF!,#REF!)</f>
        <v>#REF!</v>
      </c>
      <c r="G17" s="118" t="e">
        <f>_xlfn.COVARIANCE.P(#REF!,#REF!)</f>
        <v>#REF!</v>
      </c>
      <c r="H17" s="118" t="e">
        <f>_xlfn.COVARIANCE.P(#REF!,#REF!)</f>
        <v>#REF!</v>
      </c>
      <c r="I17" s="118" t="e">
        <f>_xlfn.COVARIANCE.P(#REF!,#REF!)</f>
        <v>#REF!</v>
      </c>
      <c r="J17" s="118" t="e">
        <f>_xlfn.COVARIANCE.P(#REF!,#REF!)</f>
        <v>#REF!</v>
      </c>
      <c r="K17" s="118" t="e">
        <f>_xlfn.COVARIANCE.P(#REF!,#REF!)</f>
        <v>#REF!</v>
      </c>
      <c r="L17" s="118" t="e">
        <f>_xlfn.COVARIANCE.P(#REF!,#REF!)</f>
        <v>#REF!</v>
      </c>
      <c r="M17" s="118" t="e">
        <f>_xlfn.COVARIANCE.P(#REF!,#REF!)</f>
        <v>#REF!</v>
      </c>
      <c r="N17" s="118" t="e">
        <f>_xlfn.COVARIANCE.P(#REF!,#REF!)</f>
        <v>#REF!</v>
      </c>
      <c r="O17" s="121" t="e">
        <f>_xlfn.COVARIANCE.P(#REF!,#REF!)</f>
        <v>#REF!</v>
      </c>
      <c r="P17" s="118" t="e">
        <f>_xlfn.COVARIANCE.P(#REF!,#REF!)</f>
        <v>#REF!</v>
      </c>
      <c r="Q17" s="118" t="e">
        <f>_xlfn.COVARIANCE.P(#REF!,#REF!)</f>
        <v>#REF!</v>
      </c>
      <c r="R17" s="118" t="e">
        <f>_xlfn.COVARIANCE.P(#REF!,#REF!)</f>
        <v>#REF!</v>
      </c>
      <c r="S17" s="118" t="e">
        <f>_xlfn.COVARIANCE.P(#REF!,#REF!)</f>
        <v>#REF!</v>
      </c>
    </row>
    <row r="18" spans="1:19">
      <c r="A18" s="118" t="s">
        <v>4</v>
      </c>
      <c r="B18" s="118" t="e">
        <f>_xlfn.COVARIANCE.P(#REF!,#REF!)</f>
        <v>#REF!</v>
      </c>
      <c r="C18" s="118" t="e">
        <f>_xlfn.COVARIANCE.P(#REF!,#REF!)</f>
        <v>#REF!</v>
      </c>
      <c r="D18" s="118" t="e">
        <f>_xlfn.COVARIANCE.P(#REF!,#REF!)</f>
        <v>#REF!</v>
      </c>
      <c r="E18" s="118" t="e">
        <f>_xlfn.COVARIANCE.P(#REF!,#REF!)</f>
        <v>#REF!</v>
      </c>
      <c r="F18" s="118" t="e">
        <f>_xlfn.COVARIANCE.P(#REF!,#REF!)</f>
        <v>#REF!</v>
      </c>
      <c r="G18" s="118" t="e">
        <f>_xlfn.COVARIANCE.P(#REF!,#REF!)</f>
        <v>#REF!</v>
      </c>
      <c r="H18" s="118" t="e">
        <f>_xlfn.COVARIANCE.P(#REF!,#REF!)</f>
        <v>#REF!</v>
      </c>
      <c r="I18" s="118" t="e">
        <f>_xlfn.COVARIANCE.P(#REF!,#REF!)</f>
        <v>#REF!</v>
      </c>
      <c r="J18" s="118" t="e">
        <f>_xlfn.COVARIANCE.P(#REF!,#REF!)</f>
        <v>#REF!</v>
      </c>
      <c r="K18" s="118" t="e">
        <f>_xlfn.COVARIANCE.P(#REF!,#REF!)</f>
        <v>#REF!</v>
      </c>
      <c r="L18" s="118" t="e">
        <f>_xlfn.COVARIANCE.P(#REF!,#REF!)</f>
        <v>#REF!</v>
      </c>
      <c r="M18" s="118" t="e">
        <f>_xlfn.COVARIANCE.P(#REF!,#REF!)</f>
        <v>#REF!</v>
      </c>
      <c r="N18" s="118" t="e">
        <f>_xlfn.COVARIANCE.P(#REF!,#REF!)</f>
        <v>#REF!</v>
      </c>
      <c r="O18" s="118" t="e">
        <f>_xlfn.COVARIANCE.P(#REF!,#REF!)</f>
        <v>#REF!</v>
      </c>
      <c r="P18" s="121" t="e">
        <f>_xlfn.COVARIANCE.P(#REF!,#REF!)</f>
        <v>#REF!</v>
      </c>
      <c r="Q18" s="118" t="e">
        <f>_xlfn.COVARIANCE.P(#REF!,#REF!)</f>
        <v>#REF!</v>
      </c>
      <c r="R18" s="118" t="e">
        <f>_xlfn.COVARIANCE.P(#REF!,#REF!)</f>
        <v>#REF!</v>
      </c>
      <c r="S18" s="118" t="e">
        <f>_xlfn.COVARIANCE.P(#REF!,#REF!)</f>
        <v>#REF!</v>
      </c>
    </row>
    <row r="19" spans="1:19">
      <c r="A19" s="118" t="s">
        <v>217</v>
      </c>
      <c r="B19" s="118" t="e">
        <f>_xlfn.COVARIANCE.P(#REF!,#REF!)</f>
        <v>#REF!</v>
      </c>
      <c r="C19" s="118" t="e">
        <f>_xlfn.COVARIANCE.P(#REF!,#REF!)</f>
        <v>#REF!</v>
      </c>
      <c r="D19" s="118" t="e">
        <f>_xlfn.COVARIANCE.P(#REF!,#REF!)</f>
        <v>#REF!</v>
      </c>
      <c r="E19" s="118" t="e">
        <f>_xlfn.COVARIANCE.P(#REF!,#REF!)</f>
        <v>#REF!</v>
      </c>
      <c r="F19" s="118" t="e">
        <f>_xlfn.COVARIANCE.P(#REF!,#REF!)</f>
        <v>#REF!</v>
      </c>
      <c r="G19" s="118" t="e">
        <f>_xlfn.COVARIANCE.P(#REF!,#REF!)</f>
        <v>#REF!</v>
      </c>
      <c r="H19" s="118" t="e">
        <f>_xlfn.COVARIANCE.P(#REF!,#REF!)</f>
        <v>#REF!</v>
      </c>
      <c r="I19" s="118" t="e">
        <f>_xlfn.COVARIANCE.P(#REF!,#REF!)</f>
        <v>#REF!</v>
      </c>
      <c r="J19" s="118" t="e">
        <f>_xlfn.COVARIANCE.P(#REF!,#REF!)</f>
        <v>#REF!</v>
      </c>
      <c r="K19" s="118" t="e">
        <f>_xlfn.COVARIANCE.P(#REF!,#REF!)</f>
        <v>#REF!</v>
      </c>
      <c r="L19" s="118" t="e">
        <f>_xlfn.COVARIANCE.P(#REF!,#REF!)</f>
        <v>#REF!</v>
      </c>
      <c r="M19" s="118" t="e">
        <f>_xlfn.COVARIANCE.P(#REF!,#REF!)</f>
        <v>#REF!</v>
      </c>
      <c r="N19" s="118" t="e">
        <f>_xlfn.COVARIANCE.P(#REF!,#REF!)</f>
        <v>#REF!</v>
      </c>
      <c r="O19" s="118" t="e">
        <f>_xlfn.COVARIANCE.P(#REF!,#REF!)</f>
        <v>#REF!</v>
      </c>
      <c r="P19" s="118" t="e">
        <f>_xlfn.COVARIANCE.P(#REF!,#REF!)</f>
        <v>#REF!</v>
      </c>
      <c r="Q19" s="121" t="e">
        <f>_xlfn.COVARIANCE.P(#REF!,#REF!)</f>
        <v>#REF!</v>
      </c>
      <c r="R19" s="118" t="e">
        <f>_xlfn.COVARIANCE.P(#REF!,#REF!)</f>
        <v>#REF!</v>
      </c>
      <c r="S19" s="118" t="e">
        <f>_xlfn.COVARIANCE.P(#REF!,#REF!)</f>
        <v>#REF!</v>
      </c>
    </row>
    <row r="20" spans="1:19">
      <c r="A20" s="118" t="s">
        <v>220</v>
      </c>
      <c r="B20" s="118" t="e">
        <f>_xlfn.COVARIANCE.P(#REF!,#REF!)</f>
        <v>#REF!</v>
      </c>
      <c r="C20" s="118" t="e">
        <f>_xlfn.COVARIANCE.P(#REF!,#REF!)</f>
        <v>#REF!</v>
      </c>
      <c r="D20" s="118" t="e">
        <f>_xlfn.COVARIANCE.P(#REF!,#REF!)</f>
        <v>#REF!</v>
      </c>
      <c r="E20" s="118" t="e">
        <f>_xlfn.COVARIANCE.P(#REF!,#REF!)</f>
        <v>#REF!</v>
      </c>
      <c r="F20" s="118" t="e">
        <f>_xlfn.COVARIANCE.P(#REF!,#REF!)</f>
        <v>#REF!</v>
      </c>
      <c r="G20" s="118" t="e">
        <f>_xlfn.COVARIANCE.P(#REF!,#REF!)</f>
        <v>#REF!</v>
      </c>
      <c r="H20" s="118" t="e">
        <f>_xlfn.COVARIANCE.P(#REF!,#REF!)</f>
        <v>#REF!</v>
      </c>
      <c r="I20" s="118" t="e">
        <f>_xlfn.COVARIANCE.P(#REF!,#REF!)</f>
        <v>#REF!</v>
      </c>
      <c r="J20" s="118" t="e">
        <f>_xlfn.COVARIANCE.P(#REF!,#REF!)</f>
        <v>#REF!</v>
      </c>
      <c r="K20" s="118" t="e">
        <f>_xlfn.COVARIANCE.P(#REF!,#REF!)</f>
        <v>#REF!</v>
      </c>
      <c r="L20" s="118" t="e">
        <f>_xlfn.COVARIANCE.P(#REF!,#REF!)</f>
        <v>#REF!</v>
      </c>
      <c r="M20" s="118" t="e">
        <f>_xlfn.COVARIANCE.P(#REF!,#REF!)</f>
        <v>#REF!</v>
      </c>
      <c r="N20" s="118" t="e">
        <f>_xlfn.COVARIANCE.P(#REF!,#REF!)</f>
        <v>#REF!</v>
      </c>
      <c r="O20" s="118" t="e">
        <f>_xlfn.COVARIANCE.P(#REF!,#REF!)</f>
        <v>#REF!</v>
      </c>
      <c r="P20" s="118" t="e">
        <f>_xlfn.COVARIANCE.P(#REF!,#REF!)</f>
        <v>#REF!</v>
      </c>
      <c r="Q20" s="118" t="e">
        <f>_xlfn.COVARIANCE.P(#REF!,#REF!)</f>
        <v>#REF!</v>
      </c>
      <c r="R20" s="121" t="e">
        <f>_xlfn.COVARIANCE.P(#REF!,#REF!)</f>
        <v>#REF!</v>
      </c>
      <c r="S20" s="118" t="e">
        <f>_xlfn.COVARIANCE.P(#REF!,#REF!)</f>
        <v>#REF!</v>
      </c>
    </row>
    <row r="21" spans="1:19" ht="16.5" thickBot="1">
      <c r="A21" s="119" t="s">
        <v>0</v>
      </c>
      <c r="B21" s="118" t="e">
        <f>_xlfn.COVARIANCE.P(#REF!,#REF!)</f>
        <v>#REF!</v>
      </c>
      <c r="C21" s="118" t="e">
        <f>_xlfn.COVARIANCE.P(#REF!,#REF!)</f>
        <v>#REF!</v>
      </c>
      <c r="D21" s="118" t="e">
        <f>_xlfn.COVARIANCE.P(#REF!,#REF!)</f>
        <v>#REF!</v>
      </c>
      <c r="E21" s="118" t="e">
        <f>_xlfn.COVARIANCE.P(#REF!,#REF!)</f>
        <v>#REF!</v>
      </c>
      <c r="F21" s="118" t="e">
        <f>_xlfn.COVARIANCE.P(#REF!,#REF!)</f>
        <v>#REF!</v>
      </c>
      <c r="G21" s="118" t="e">
        <f>_xlfn.COVARIANCE.P(#REF!,#REF!)</f>
        <v>#REF!</v>
      </c>
      <c r="H21" s="118" t="e">
        <f>_xlfn.COVARIANCE.P(#REF!,#REF!)</f>
        <v>#REF!</v>
      </c>
      <c r="I21" s="118" t="e">
        <f>_xlfn.COVARIANCE.P(#REF!,#REF!)</f>
        <v>#REF!</v>
      </c>
      <c r="J21" s="118" t="e">
        <f>_xlfn.COVARIANCE.P(#REF!,#REF!)</f>
        <v>#REF!</v>
      </c>
      <c r="K21" s="118" t="e">
        <f>_xlfn.COVARIANCE.P(#REF!,#REF!)</f>
        <v>#REF!</v>
      </c>
      <c r="L21" s="118" t="e">
        <f>_xlfn.COVARIANCE.P(#REF!,#REF!)</f>
        <v>#REF!</v>
      </c>
      <c r="M21" s="118" t="e">
        <f>_xlfn.COVARIANCE.P(#REF!,#REF!)</f>
        <v>#REF!</v>
      </c>
      <c r="N21" s="118" t="e">
        <f>_xlfn.COVARIANCE.P(#REF!,#REF!)</f>
        <v>#REF!</v>
      </c>
      <c r="O21" s="118" t="e">
        <f>_xlfn.COVARIANCE.P(#REF!,#REF!)</f>
        <v>#REF!</v>
      </c>
      <c r="P21" s="118" t="e">
        <f>_xlfn.COVARIANCE.P(#REF!,#REF!)</f>
        <v>#REF!</v>
      </c>
      <c r="Q21" s="118" t="e">
        <f>_xlfn.COVARIANCE.P(#REF!,#REF!)</f>
        <v>#REF!</v>
      </c>
      <c r="R21" s="118" t="e">
        <f>_xlfn.COVARIANCE.P(#REF!,#REF!)</f>
        <v>#REF!</v>
      </c>
      <c r="S21" s="121" t="e">
        <f>_xlfn.COVARIANCE.P(#REF!,#REF!)</f>
        <v>#REF!</v>
      </c>
    </row>
    <row r="23" spans="1:19">
      <c r="B23" t="e">
        <f>1/SQRT($B$4)</f>
        <v>#REF!</v>
      </c>
      <c r="C23" t="e">
        <f t="shared" ref="C23:S23" si="0">1/SQRT($B$4)</f>
        <v>#REF!</v>
      </c>
      <c r="D23" t="e">
        <f>1/SQRT($B$4)</f>
        <v>#REF!</v>
      </c>
      <c r="E23" t="e">
        <f t="shared" si="0"/>
        <v>#REF!</v>
      </c>
      <c r="F23" t="e">
        <f t="shared" si="0"/>
        <v>#REF!</v>
      </c>
      <c r="G23" t="e">
        <f t="shared" si="0"/>
        <v>#REF!</v>
      </c>
      <c r="H23" t="e">
        <f t="shared" si="0"/>
        <v>#REF!</v>
      </c>
      <c r="I23" t="e">
        <f t="shared" si="0"/>
        <v>#REF!</v>
      </c>
      <c r="J23" t="e">
        <f t="shared" si="0"/>
        <v>#REF!</v>
      </c>
      <c r="K23" t="e">
        <f t="shared" si="0"/>
        <v>#REF!</v>
      </c>
      <c r="L23" t="e">
        <f t="shared" si="0"/>
        <v>#REF!</v>
      </c>
      <c r="M23" t="e">
        <f t="shared" si="0"/>
        <v>#REF!</v>
      </c>
      <c r="N23" t="e">
        <f t="shared" si="0"/>
        <v>#REF!</v>
      </c>
      <c r="O23" t="e">
        <f t="shared" si="0"/>
        <v>#REF!</v>
      </c>
      <c r="P23" t="e">
        <f t="shared" si="0"/>
        <v>#REF!</v>
      </c>
      <c r="Q23" t="e">
        <f t="shared" si="0"/>
        <v>#REF!</v>
      </c>
      <c r="R23" t="e">
        <f t="shared" si="0"/>
        <v>#REF!</v>
      </c>
      <c r="S23" t="e">
        <f t="shared" si="0"/>
        <v>#REF!</v>
      </c>
    </row>
    <row r="24" spans="1:19">
      <c r="B24" t="e">
        <f>1/SQRT($C$5)</f>
        <v>#REF!</v>
      </c>
      <c r="C24" t="e">
        <f t="shared" ref="C24:S24" si="1">1/SQRT($C$5)</f>
        <v>#REF!</v>
      </c>
      <c r="D24" t="e">
        <f t="shared" si="1"/>
        <v>#REF!</v>
      </c>
      <c r="E24" t="e">
        <f t="shared" si="1"/>
        <v>#REF!</v>
      </c>
      <c r="F24" t="e">
        <f t="shared" si="1"/>
        <v>#REF!</v>
      </c>
      <c r="G24" t="e">
        <f t="shared" si="1"/>
        <v>#REF!</v>
      </c>
      <c r="H24" t="e">
        <f t="shared" si="1"/>
        <v>#REF!</v>
      </c>
      <c r="I24" t="e">
        <f t="shared" si="1"/>
        <v>#REF!</v>
      </c>
      <c r="J24" t="e">
        <f t="shared" si="1"/>
        <v>#REF!</v>
      </c>
      <c r="K24" t="e">
        <f t="shared" si="1"/>
        <v>#REF!</v>
      </c>
      <c r="L24" t="e">
        <f t="shared" si="1"/>
        <v>#REF!</v>
      </c>
      <c r="M24" t="e">
        <f t="shared" si="1"/>
        <v>#REF!</v>
      </c>
      <c r="N24" t="e">
        <f t="shared" si="1"/>
        <v>#REF!</v>
      </c>
      <c r="O24" t="e">
        <f t="shared" si="1"/>
        <v>#REF!</v>
      </c>
      <c r="P24" t="e">
        <f t="shared" si="1"/>
        <v>#REF!</v>
      </c>
      <c r="Q24" t="e">
        <f t="shared" si="1"/>
        <v>#REF!</v>
      </c>
      <c r="R24" t="e">
        <f t="shared" si="1"/>
        <v>#REF!</v>
      </c>
      <c r="S24" t="e">
        <f t="shared" si="1"/>
        <v>#REF!</v>
      </c>
    </row>
    <row r="25" spans="1:19">
      <c r="B25" t="e">
        <f>1/SQRT($D$6)</f>
        <v>#REF!</v>
      </c>
      <c r="C25" t="e">
        <f t="shared" ref="C25:S25" si="2">1/SQRT($D$6)</f>
        <v>#REF!</v>
      </c>
      <c r="D25" t="e">
        <f>1/SQRT($D$6)</f>
        <v>#REF!</v>
      </c>
      <c r="E25" t="e">
        <f t="shared" si="2"/>
        <v>#REF!</v>
      </c>
      <c r="F25" t="e">
        <f t="shared" si="2"/>
        <v>#REF!</v>
      </c>
      <c r="G25" t="e">
        <f t="shared" si="2"/>
        <v>#REF!</v>
      </c>
      <c r="H25" t="e">
        <f t="shared" si="2"/>
        <v>#REF!</v>
      </c>
      <c r="I25" t="e">
        <f t="shared" si="2"/>
        <v>#REF!</v>
      </c>
      <c r="J25" t="e">
        <f t="shared" si="2"/>
        <v>#REF!</v>
      </c>
      <c r="K25" t="e">
        <f t="shared" si="2"/>
        <v>#REF!</v>
      </c>
      <c r="L25" t="e">
        <f t="shared" si="2"/>
        <v>#REF!</v>
      </c>
      <c r="M25" t="e">
        <f t="shared" si="2"/>
        <v>#REF!</v>
      </c>
      <c r="N25" t="e">
        <f t="shared" si="2"/>
        <v>#REF!</v>
      </c>
      <c r="O25" t="e">
        <f t="shared" si="2"/>
        <v>#REF!</v>
      </c>
      <c r="P25" t="e">
        <f t="shared" si="2"/>
        <v>#REF!</v>
      </c>
      <c r="Q25" t="e">
        <f t="shared" si="2"/>
        <v>#REF!</v>
      </c>
      <c r="R25" t="e">
        <f t="shared" si="2"/>
        <v>#REF!</v>
      </c>
      <c r="S25" t="e">
        <f t="shared" si="2"/>
        <v>#REF!</v>
      </c>
    </row>
    <row r="26" spans="1:19">
      <c r="B26" t="e">
        <f>1/SQRT($E$7)</f>
        <v>#REF!</v>
      </c>
      <c r="C26" t="e">
        <f t="shared" ref="C26:S26" si="3">1/SQRT($E$7)</f>
        <v>#REF!</v>
      </c>
      <c r="D26" t="e">
        <f t="shared" si="3"/>
        <v>#REF!</v>
      </c>
      <c r="E26" t="e">
        <f t="shared" si="3"/>
        <v>#REF!</v>
      </c>
      <c r="F26" t="e">
        <f t="shared" si="3"/>
        <v>#REF!</v>
      </c>
      <c r="G26" t="e">
        <f t="shared" si="3"/>
        <v>#REF!</v>
      </c>
      <c r="H26" t="e">
        <f t="shared" si="3"/>
        <v>#REF!</v>
      </c>
      <c r="I26" t="e">
        <f t="shared" si="3"/>
        <v>#REF!</v>
      </c>
      <c r="J26" t="e">
        <f t="shared" si="3"/>
        <v>#REF!</v>
      </c>
      <c r="K26" t="e">
        <f t="shared" si="3"/>
        <v>#REF!</v>
      </c>
      <c r="L26" t="e">
        <f t="shared" si="3"/>
        <v>#REF!</v>
      </c>
      <c r="M26" t="e">
        <f t="shared" si="3"/>
        <v>#REF!</v>
      </c>
      <c r="N26" t="e">
        <f t="shared" si="3"/>
        <v>#REF!</v>
      </c>
      <c r="O26" t="e">
        <f t="shared" si="3"/>
        <v>#REF!</v>
      </c>
      <c r="P26" t="e">
        <f t="shared" si="3"/>
        <v>#REF!</v>
      </c>
      <c r="Q26" t="e">
        <f t="shared" si="3"/>
        <v>#REF!</v>
      </c>
      <c r="R26" t="e">
        <f t="shared" si="3"/>
        <v>#REF!</v>
      </c>
      <c r="S26" t="e">
        <f t="shared" si="3"/>
        <v>#REF!</v>
      </c>
    </row>
    <row r="27" spans="1:19">
      <c r="B27" t="e">
        <f>1/SQRT($F$8)</f>
        <v>#REF!</v>
      </c>
      <c r="C27" t="e">
        <f t="shared" ref="C27:S27" si="4">1/SQRT($F$8)</f>
        <v>#REF!</v>
      </c>
      <c r="D27" t="e">
        <f>1/SQRT($F$8)</f>
        <v>#REF!</v>
      </c>
      <c r="E27" t="e">
        <f t="shared" si="4"/>
        <v>#REF!</v>
      </c>
      <c r="F27" t="e">
        <f t="shared" si="4"/>
        <v>#REF!</v>
      </c>
      <c r="G27" t="e">
        <f t="shared" si="4"/>
        <v>#REF!</v>
      </c>
      <c r="H27" t="e">
        <f t="shared" si="4"/>
        <v>#REF!</v>
      </c>
      <c r="I27" t="e">
        <f t="shared" si="4"/>
        <v>#REF!</v>
      </c>
      <c r="J27" t="e">
        <f t="shared" si="4"/>
        <v>#REF!</v>
      </c>
      <c r="K27" t="e">
        <f t="shared" si="4"/>
        <v>#REF!</v>
      </c>
      <c r="L27" t="e">
        <f t="shared" si="4"/>
        <v>#REF!</v>
      </c>
      <c r="M27" t="e">
        <f t="shared" si="4"/>
        <v>#REF!</v>
      </c>
      <c r="N27" t="e">
        <f t="shared" si="4"/>
        <v>#REF!</v>
      </c>
      <c r="O27" t="e">
        <f t="shared" si="4"/>
        <v>#REF!</v>
      </c>
      <c r="P27" t="e">
        <f t="shared" si="4"/>
        <v>#REF!</v>
      </c>
      <c r="Q27" t="e">
        <f t="shared" si="4"/>
        <v>#REF!</v>
      </c>
      <c r="R27" t="e">
        <f t="shared" si="4"/>
        <v>#REF!</v>
      </c>
      <c r="S27" t="e">
        <f t="shared" si="4"/>
        <v>#REF!</v>
      </c>
    </row>
    <row r="28" spans="1:19">
      <c r="B28" t="e">
        <f>1/SQRT($G$9)</f>
        <v>#REF!</v>
      </c>
      <c r="C28" t="e">
        <f t="shared" ref="C28:S28" si="5">1/SQRT($G$9)</f>
        <v>#REF!</v>
      </c>
      <c r="D28" t="e">
        <f>1/SQRT($G$9)</f>
        <v>#REF!</v>
      </c>
      <c r="E28" t="e">
        <f t="shared" si="5"/>
        <v>#REF!</v>
      </c>
      <c r="F28" t="e">
        <f t="shared" si="5"/>
        <v>#REF!</v>
      </c>
      <c r="G28" t="e">
        <f t="shared" si="5"/>
        <v>#REF!</v>
      </c>
      <c r="H28" t="e">
        <f t="shared" si="5"/>
        <v>#REF!</v>
      </c>
      <c r="I28" t="e">
        <f t="shared" si="5"/>
        <v>#REF!</v>
      </c>
      <c r="J28" t="e">
        <f t="shared" si="5"/>
        <v>#REF!</v>
      </c>
      <c r="K28" t="e">
        <f t="shared" si="5"/>
        <v>#REF!</v>
      </c>
      <c r="L28" t="e">
        <f t="shared" si="5"/>
        <v>#REF!</v>
      </c>
      <c r="M28" t="e">
        <f t="shared" si="5"/>
        <v>#REF!</v>
      </c>
      <c r="N28" t="e">
        <f t="shared" si="5"/>
        <v>#REF!</v>
      </c>
      <c r="O28" t="e">
        <f t="shared" si="5"/>
        <v>#REF!</v>
      </c>
      <c r="P28" t="e">
        <f t="shared" si="5"/>
        <v>#REF!</v>
      </c>
      <c r="Q28" t="e">
        <f t="shared" si="5"/>
        <v>#REF!</v>
      </c>
      <c r="R28" t="e">
        <f t="shared" si="5"/>
        <v>#REF!</v>
      </c>
      <c r="S28" t="e">
        <f t="shared" si="5"/>
        <v>#REF!</v>
      </c>
    </row>
    <row r="29" spans="1:19">
      <c r="B29" t="e">
        <f>1/SQRT($H$10)</f>
        <v>#REF!</v>
      </c>
      <c r="C29" t="e">
        <f t="shared" ref="C29:S29" si="6">1/SQRT($H$10)</f>
        <v>#REF!</v>
      </c>
      <c r="D29" t="e">
        <f t="shared" si="6"/>
        <v>#REF!</v>
      </c>
      <c r="E29" t="e">
        <f t="shared" si="6"/>
        <v>#REF!</v>
      </c>
      <c r="F29" t="e">
        <f t="shared" si="6"/>
        <v>#REF!</v>
      </c>
      <c r="G29" t="e">
        <f t="shared" si="6"/>
        <v>#REF!</v>
      </c>
      <c r="H29" t="e">
        <f t="shared" si="6"/>
        <v>#REF!</v>
      </c>
      <c r="I29" t="e">
        <f t="shared" si="6"/>
        <v>#REF!</v>
      </c>
      <c r="J29" t="e">
        <f t="shared" si="6"/>
        <v>#REF!</v>
      </c>
      <c r="K29" t="e">
        <f t="shared" si="6"/>
        <v>#REF!</v>
      </c>
      <c r="L29" t="e">
        <f t="shared" si="6"/>
        <v>#REF!</v>
      </c>
      <c r="M29" t="e">
        <f t="shared" si="6"/>
        <v>#REF!</v>
      </c>
      <c r="N29" t="e">
        <f t="shared" si="6"/>
        <v>#REF!</v>
      </c>
      <c r="O29" t="e">
        <f t="shared" si="6"/>
        <v>#REF!</v>
      </c>
      <c r="P29" t="e">
        <f t="shared" si="6"/>
        <v>#REF!</v>
      </c>
      <c r="Q29" t="e">
        <f t="shared" si="6"/>
        <v>#REF!</v>
      </c>
      <c r="R29" t="e">
        <f t="shared" si="6"/>
        <v>#REF!</v>
      </c>
      <c r="S29" t="e">
        <f t="shared" si="6"/>
        <v>#REF!</v>
      </c>
    </row>
    <row r="30" spans="1:19">
      <c r="B30" t="e">
        <f>1/SQRT($I$11)</f>
        <v>#REF!</v>
      </c>
      <c r="C30" t="e">
        <f t="shared" ref="C30:S30" si="7">1/SQRT($I$11)</f>
        <v>#REF!</v>
      </c>
      <c r="D30" t="e">
        <f t="shared" si="7"/>
        <v>#REF!</v>
      </c>
      <c r="E30" t="e">
        <f t="shared" si="7"/>
        <v>#REF!</v>
      </c>
      <c r="F30" t="e">
        <f t="shared" si="7"/>
        <v>#REF!</v>
      </c>
      <c r="G30" t="e">
        <f t="shared" si="7"/>
        <v>#REF!</v>
      </c>
      <c r="H30" t="e">
        <f t="shared" si="7"/>
        <v>#REF!</v>
      </c>
      <c r="I30" t="e">
        <f t="shared" si="7"/>
        <v>#REF!</v>
      </c>
      <c r="J30" t="e">
        <f t="shared" si="7"/>
        <v>#REF!</v>
      </c>
      <c r="K30" t="e">
        <f t="shared" si="7"/>
        <v>#REF!</v>
      </c>
      <c r="L30" t="e">
        <f t="shared" si="7"/>
        <v>#REF!</v>
      </c>
      <c r="M30" t="e">
        <f t="shared" si="7"/>
        <v>#REF!</v>
      </c>
      <c r="N30" t="e">
        <f t="shared" si="7"/>
        <v>#REF!</v>
      </c>
      <c r="O30" t="e">
        <f t="shared" si="7"/>
        <v>#REF!</v>
      </c>
      <c r="P30" t="e">
        <f t="shared" si="7"/>
        <v>#REF!</v>
      </c>
      <c r="Q30" t="e">
        <f t="shared" si="7"/>
        <v>#REF!</v>
      </c>
      <c r="R30" t="e">
        <f t="shared" si="7"/>
        <v>#REF!</v>
      </c>
      <c r="S30" t="e">
        <f t="shared" si="7"/>
        <v>#REF!</v>
      </c>
    </row>
    <row r="31" spans="1:19">
      <c r="B31" t="e">
        <f>1/SQRT($J$12)</f>
        <v>#REF!</v>
      </c>
      <c r="C31" t="e">
        <f t="shared" ref="C31:S31" si="8">1/SQRT($J$12)</f>
        <v>#REF!</v>
      </c>
      <c r="D31" t="e">
        <f t="shared" si="8"/>
        <v>#REF!</v>
      </c>
      <c r="E31" t="e">
        <f t="shared" si="8"/>
        <v>#REF!</v>
      </c>
      <c r="F31" t="e">
        <f t="shared" si="8"/>
        <v>#REF!</v>
      </c>
      <c r="G31" t="e">
        <f t="shared" si="8"/>
        <v>#REF!</v>
      </c>
      <c r="H31" t="e">
        <f t="shared" si="8"/>
        <v>#REF!</v>
      </c>
      <c r="I31" t="e">
        <f t="shared" si="8"/>
        <v>#REF!</v>
      </c>
      <c r="J31" t="e">
        <f t="shared" si="8"/>
        <v>#REF!</v>
      </c>
      <c r="K31" t="e">
        <f t="shared" si="8"/>
        <v>#REF!</v>
      </c>
      <c r="L31" t="e">
        <f t="shared" si="8"/>
        <v>#REF!</v>
      </c>
      <c r="M31" t="e">
        <f t="shared" si="8"/>
        <v>#REF!</v>
      </c>
      <c r="N31" t="e">
        <f t="shared" si="8"/>
        <v>#REF!</v>
      </c>
      <c r="O31" t="e">
        <f t="shared" si="8"/>
        <v>#REF!</v>
      </c>
      <c r="P31" t="e">
        <f t="shared" si="8"/>
        <v>#REF!</v>
      </c>
      <c r="Q31" t="e">
        <f t="shared" si="8"/>
        <v>#REF!</v>
      </c>
      <c r="R31" t="e">
        <f t="shared" si="8"/>
        <v>#REF!</v>
      </c>
      <c r="S31" t="e">
        <f t="shared" si="8"/>
        <v>#REF!</v>
      </c>
    </row>
    <row r="32" spans="1:19">
      <c r="B32" t="e">
        <f>1/SQRT($K$13)</f>
        <v>#REF!</v>
      </c>
      <c r="C32" t="e">
        <f t="shared" ref="C32:S32" si="9">1/SQRT($K$13)</f>
        <v>#REF!</v>
      </c>
      <c r="D32" t="e">
        <f t="shared" si="9"/>
        <v>#REF!</v>
      </c>
      <c r="E32" t="e">
        <f t="shared" si="9"/>
        <v>#REF!</v>
      </c>
      <c r="F32" t="e">
        <f t="shared" si="9"/>
        <v>#REF!</v>
      </c>
      <c r="G32" t="e">
        <f t="shared" si="9"/>
        <v>#REF!</v>
      </c>
      <c r="H32" t="e">
        <f t="shared" si="9"/>
        <v>#REF!</v>
      </c>
      <c r="I32" t="e">
        <f t="shared" si="9"/>
        <v>#REF!</v>
      </c>
      <c r="J32" t="e">
        <f t="shared" si="9"/>
        <v>#REF!</v>
      </c>
      <c r="K32" t="e">
        <f t="shared" si="9"/>
        <v>#REF!</v>
      </c>
      <c r="L32" t="e">
        <f t="shared" si="9"/>
        <v>#REF!</v>
      </c>
      <c r="M32" t="e">
        <f t="shared" si="9"/>
        <v>#REF!</v>
      </c>
      <c r="N32" t="e">
        <f t="shared" si="9"/>
        <v>#REF!</v>
      </c>
      <c r="O32" t="e">
        <f t="shared" si="9"/>
        <v>#REF!</v>
      </c>
      <c r="P32" t="e">
        <f t="shared" si="9"/>
        <v>#REF!</v>
      </c>
      <c r="Q32" t="e">
        <f t="shared" si="9"/>
        <v>#REF!</v>
      </c>
      <c r="R32" t="e">
        <f t="shared" si="9"/>
        <v>#REF!</v>
      </c>
      <c r="S32" t="e">
        <f t="shared" si="9"/>
        <v>#REF!</v>
      </c>
    </row>
    <row r="33" spans="2:19">
      <c r="B33" t="e">
        <f>1/SQRT($L$14)</f>
        <v>#REF!</v>
      </c>
      <c r="C33" t="e">
        <f t="shared" ref="C33:S33" si="10">1/SQRT($L$14)</f>
        <v>#REF!</v>
      </c>
      <c r="D33" t="e">
        <f t="shared" si="10"/>
        <v>#REF!</v>
      </c>
      <c r="E33" t="e">
        <f t="shared" si="10"/>
        <v>#REF!</v>
      </c>
      <c r="F33" t="e">
        <f t="shared" si="10"/>
        <v>#REF!</v>
      </c>
      <c r="G33" t="e">
        <f t="shared" si="10"/>
        <v>#REF!</v>
      </c>
      <c r="H33" t="e">
        <f t="shared" si="10"/>
        <v>#REF!</v>
      </c>
      <c r="I33" t="e">
        <f t="shared" si="10"/>
        <v>#REF!</v>
      </c>
      <c r="J33" t="e">
        <f t="shared" si="10"/>
        <v>#REF!</v>
      </c>
      <c r="K33" t="e">
        <f t="shared" si="10"/>
        <v>#REF!</v>
      </c>
      <c r="L33" t="e">
        <f t="shared" si="10"/>
        <v>#REF!</v>
      </c>
      <c r="M33" t="e">
        <f t="shared" si="10"/>
        <v>#REF!</v>
      </c>
      <c r="N33" t="e">
        <f t="shared" si="10"/>
        <v>#REF!</v>
      </c>
      <c r="O33" t="e">
        <f t="shared" si="10"/>
        <v>#REF!</v>
      </c>
      <c r="P33" t="e">
        <f t="shared" si="10"/>
        <v>#REF!</v>
      </c>
      <c r="Q33" t="e">
        <f t="shared" si="10"/>
        <v>#REF!</v>
      </c>
      <c r="R33" t="e">
        <f t="shared" si="10"/>
        <v>#REF!</v>
      </c>
      <c r="S33" t="e">
        <f t="shared" si="10"/>
        <v>#REF!</v>
      </c>
    </row>
    <row r="34" spans="2:19">
      <c r="B34" t="e">
        <f>1/SQRT($M$15)</f>
        <v>#REF!</v>
      </c>
      <c r="C34" t="e">
        <f t="shared" ref="C34:S34" si="11">1/SQRT($M$15)</f>
        <v>#REF!</v>
      </c>
      <c r="D34" t="e">
        <f t="shared" si="11"/>
        <v>#REF!</v>
      </c>
      <c r="E34" t="e">
        <f t="shared" si="11"/>
        <v>#REF!</v>
      </c>
      <c r="F34" t="e">
        <f t="shared" si="11"/>
        <v>#REF!</v>
      </c>
      <c r="G34" t="e">
        <f t="shared" si="11"/>
        <v>#REF!</v>
      </c>
      <c r="H34" t="e">
        <f t="shared" si="11"/>
        <v>#REF!</v>
      </c>
      <c r="I34" t="e">
        <f t="shared" si="11"/>
        <v>#REF!</v>
      </c>
      <c r="J34" t="e">
        <f t="shared" si="11"/>
        <v>#REF!</v>
      </c>
      <c r="K34" t="e">
        <f t="shared" si="11"/>
        <v>#REF!</v>
      </c>
      <c r="L34" t="e">
        <f t="shared" si="11"/>
        <v>#REF!</v>
      </c>
      <c r="M34" t="e">
        <f t="shared" si="11"/>
        <v>#REF!</v>
      </c>
      <c r="N34" t="e">
        <f t="shared" si="11"/>
        <v>#REF!</v>
      </c>
      <c r="O34" t="e">
        <f t="shared" si="11"/>
        <v>#REF!</v>
      </c>
      <c r="P34" t="e">
        <f t="shared" si="11"/>
        <v>#REF!</v>
      </c>
      <c r="Q34" t="e">
        <f t="shared" si="11"/>
        <v>#REF!</v>
      </c>
      <c r="R34" t="e">
        <f t="shared" si="11"/>
        <v>#REF!</v>
      </c>
      <c r="S34" t="e">
        <f t="shared" si="11"/>
        <v>#REF!</v>
      </c>
    </row>
    <row r="35" spans="2:19">
      <c r="B35" t="e">
        <f>1/SQRT($N$16)</f>
        <v>#REF!</v>
      </c>
      <c r="C35" t="e">
        <f t="shared" ref="C35:S35" si="12">1/SQRT($N$16)</f>
        <v>#REF!</v>
      </c>
      <c r="D35" t="e">
        <f t="shared" si="12"/>
        <v>#REF!</v>
      </c>
      <c r="E35" t="e">
        <f t="shared" si="12"/>
        <v>#REF!</v>
      </c>
      <c r="F35" t="e">
        <f t="shared" si="12"/>
        <v>#REF!</v>
      </c>
      <c r="G35" t="e">
        <f t="shared" si="12"/>
        <v>#REF!</v>
      </c>
      <c r="H35" t="e">
        <f t="shared" si="12"/>
        <v>#REF!</v>
      </c>
      <c r="I35" t="e">
        <f t="shared" si="12"/>
        <v>#REF!</v>
      </c>
      <c r="J35" t="e">
        <f t="shared" si="12"/>
        <v>#REF!</v>
      </c>
      <c r="K35" t="e">
        <f t="shared" si="12"/>
        <v>#REF!</v>
      </c>
      <c r="L35" t="e">
        <f t="shared" si="12"/>
        <v>#REF!</v>
      </c>
      <c r="M35" t="e">
        <f t="shared" si="12"/>
        <v>#REF!</v>
      </c>
      <c r="N35" t="e">
        <f t="shared" si="12"/>
        <v>#REF!</v>
      </c>
      <c r="O35" t="e">
        <f t="shared" si="12"/>
        <v>#REF!</v>
      </c>
      <c r="P35" t="e">
        <f t="shared" si="12"/>
        <v>#REF!</v>
      </c>
      <c r="Q35" t="e">
        <f t="shared" si="12"/>
        <v>#REF!</v>
      </c>
      <c r="R35" t="e">
        <f t="shared" si="12"/>
        <v>#REF!</v>
      </c>
      <c r="S35" t="e">
        <f t="shared" si="12"/>
        <v>#REF!</v>
      </c>
    </row>
    <row r="36" spans="2:19">
      <c r="B36" t="e">
        <f>1/SQRT($O$17)</f>
        <v>#REF!</v>
      </c>
      <c r="C36" t="e">
        <f t="shared" ref="C36:S36" si="13">1/SQRT($O$17)</f>
        <v>#REF!</v>
      </c>
      <c r="D36" t="e">
        <f t="shared" si="13"/>
        <v>#REF!</v>
      </c>
      <c r="E36" t="e">
        <f t="shared" si="13"/>
        <v>#REF!</v>
      </c>
      <c r="F36" t="e">
        <f t="shared" si="13"/>
        <v>#REF!</v>
      </c>
      <c r="G36" t="e">
        <f t="shared" si="13"/>
        <v>#REF!</v>
      </c>
      <c r="H36" t="e">
        <f t="shared" si="13"/>
        <v>#REF!</v>
      </c>
      <c r="I36" t="e">
        <f t="shared" si="13"/>
        <v>#REF!</v>
      </c>
      <c r="J36" t="e">
        <f t="shared" si="13"/>
        <v>#REF!</v>
      </c>
      <c r="K36" t="e">
        <f t="shared" si="13"/>
        <v>#REF!</v>
      </c>
      <c r="L36" t="e">
        <f t="shared" si="13"/>
        <v>#REF!</v>
      </c>
      <c r="M36" t="e">
        <f t="shared" si="13"/>
        <v>#REF!</v>
      </c>
      <c r="N36" t="e">
        <f t="shared" si="13"/>
        <v>#REF!</v>
      </c>
      <c r="O36" t="e">
        <f t="shared" si="13"/>
        <v>#REF!</v>
      </c>
      <c r="P36" t="e">
        <f t="shared" si="13"/>
        <v>#REF!</v>
      </c>
      <c r="Q36" t="e">
        <f t="shared" si="13"/>
        <v>#REF!</v>
      </c>
      <c r="R36" t="e">
        <f t="shared" si="13"/>
        <v>#REF!</v>
      </c>
      <c r="S36" t="e">
        <f t="shared" si="13"/>
        <v>#REF!</v>
      </c>
    </row>
    <row r="37" spans="2:19">
      <c r="B37" t="e">
        <f>1/SQRT($P$18)</f>
        <v>#REF!</v>
      </c>
      <c r="C37" t="e">
        <f t="shared" ref="C37:S37" si="14">1/SQRT($P$18)</f>
        <v>#REF!</v>
      </c>
      <c r="D37" t="e">
        <f t="shared" si="14"/>
        <v>#REF!</v>
      </c>
      <c r="E37" t="e">
        <f t="shared" si="14"/>
        <v>#REF!</v>
      </c>
      <c r="F37" t="e">
        <f t="shared" si="14"/>
        <v>#REF!</v>
      </c>
      <c r="G37" t="e">
        <f t="shared" si="14"/>
        <v>#REF!</v>
      </c>
      <c r="H37" t="e">
        <f t="shared" si="14"/>
        <v>#REF!</v>
      </c>
      <c r="I37" t="e">
        <f t="shared" si="14"/>
        <v>#REF!</v>
      </c>
      <c r="J37" t="e">
        <f t="shared" si="14"/>
        <v>#REF!</v>
      </c>
      <c r="K37" t="e">
        <f t="shared" si="14"/>
        <v>#REF!</v>
      </c>
      <c r="L37" t="e">
        <f t="shared" si="14"/>
        <v>#REF!</v>
      </c>
      <c r="M37" t="e">
        <f t="shared" si="14"/>
        <v>#REF!</v>
      </c>
      <c r="N37" t="e">
        <f t="shared" si="14"/>
        <v>#REF!</v>
      </c>
      <c r="O37" t="e">
        <f t="shared" si="14"/>
        <v>#REF!</v>
      </c>
      <c r="P37" t="e">
        <f t="shared" si="14"/>
        <v>#REF!</v>
      </c>
      <c r="Q37" t="e">
        <f t="shared" si="14"/>
        <v>#REF!</v>
      </c>
      <c r="R37" t="e">
        <f t="shared" si="14"/>
        <v>#REF!</v>
      </c>
      <c r="S37" t="e">
        <f t="shared" si="14"/>
        <v>#REF!</v>
      </c>
    </row>
    <row r="38" spans="2:19">
      <c r="B38" t="e">
        <f>1/SQRT($Q$19)</f>
        <v>#REF!</v>
      </c>
      <c r="C38" t="e">
        <f t="shared" ref="C38:S38" si="15">1/SQRT($Q$19)</f>
        <v>#REF!</v>
      </c>
      <c r="D38" t="e">
        <f t="shared" si="15"/>
        <v>#REF!</v>
      </c>
      <c r="E38" t="e">
        <f t="shared" si="15"/>
        <v>#REF!</v>
      </c>
      <c r="F38" t="e">
        <f t="shared" si="15"/>
        <v>#REF!</v>
      </c>
      <c r="G38" t="e">
        <f t="shared" si="15"/>
        <v>#REF!</v>
      </c>
      <c r="H38" t="e">
        <f t="shared" si="15"/>
        <v>#REF!</v>
      </c>
      <c r="I38" t="e">
        <f t="shared" si="15"/>
        <v>#REF!</v>
      </c>
      <c r="J38" t="e">
        <f t="shared" si="15"/>
        <v>#REF!</v>
      </c>
      <c r="K38" t="e">
        <f t="shared" si="15"/>
        <v>#REF!</v>
      </c>
      <c r="L38" t="e">
        <f t="shared" si="15"/>
        <v>#REF!</v>
      </c>
      <c r="M38" t="e">
        <f t="shared" si="15"/>
        <v>#REF!</v>
      </c>
      <c r="N38" t="e">
        <f t="shared" si="15"/>
        <v>#REF!</v>
      </c>
      <c r="O38" t="e">
        <f t="shared" si="15"/>
        <v>#REF!</v>
      </c>
      <c r="P38" t="e">
        <f t="shared" si="15"/>
        <v>#REF!</v>
      </c>
      <c r="Q38" t="e">
        <f t="shared" si="15"/>
        <v>#REF!</v>
      </c>
      <c r="R38" t="e">
        <f t="shared" si="15"/>
        <v>#REF!</v>
      </c>
      <c r="S38" t="e">
        <f t="shared" si="15"/>
        <v>#REF!</v>
      </c>
    </row>
    <row r="39" spans="2:19">
      <c r="B39" t="e">
        <f>1/SQRT($R$20)</f>
        <v>#REF!</v>
      </c>
      <c r="C39" t="e">
        <f t="shared" ref="C39:S39" si="16">1/SQRT($R$20)</f>
        <v>#REF!</v>
      </c>
      <c r="D39" t="e">
        <f t="shared" si="16"/>
        <v>#REF!</v>
      </c>
      <c r="E39" t="e">
        <f t="shared" si="16"/>
        <v>#REF!</v>
      </c>
      <c r="F39" t="e">
        <f t="shared" si="16"/>
        <v>#REF!</v>
      </c>
      <c r="G39" t="e">
        <f t="shared" si="16"/>
        <v>#REF!</v>
      </c>
      <c r="H39" t="e">
        <f t="shared" si="16"/>
        <v>#REF!</v>
      </c>
      <c r="I39" t="e">
        <f t="shared" si="16"/>
        <v>#REF!</v>
      </c>
      <c r="J39" t="e">
        <f t="shared" si="16"/>
        <v>#REF!</v>
      </c>
      <c r="K39" t="e">
        <f t="shared" si="16"/>
        <v>#REF!</v>
      </c>
      <c r="L39" t="e">
        <f t="shared" si="16"/>
        <v>#REF!</v>
      </c>
      <c r="M39" t="e">
        <f t="shared" si="16"/>
        <v>#REF!</v>
      </c>
      <c r="N39" t="e">
        <f t="shared" si="16"/>
        <v>#REF!</v>
      </c>
      <c r="O39" t="e">
        <f t="shared" si="16"/>
        <v>#REF!</v>
      </c>
      <c r="P39" t="e">
        <f t="shared" si="16"/>
        <v>#REF!</v>
      </c>
      <c r="Q39" t="e">
        <f t="shared" si="16"/>
        <v>#REF!</v>
      </c>
      <c r="R39" t="e">
        <f t="shared" si="16"/>
        <v>#REF!</v>
      </c>
      <c r="S39" t="e">
        <f t="shared" si="16"/>
        <v>#REF!</v>
      </c>
    </row>
    <row r="40" spans="2:19">
      <c r="B40" t="e">
        <f>1/SQRT($S$21)</f>
        <v>#REF!</v>
      </c>
      <c r="C40" t="e">
        <f t="shared" ref="C40:S40" si="17">1/SQRT($S$21)</f>
        <v>#REF!</v>
      </c>
      <c r="D40" t="e">
        <f t="shared" si="17"/>
        <v>#REF!</v>
      </c>
      <c r="E40" t="e">
        <f t="shared" si="17"/>
        <v>#REF!</v>
      </c>
      <c r="F40" t="e">
        <f t="shared" si="17"/>
        <v>#REF!</v>
      </c>
      <c r="G40" t="e">
        <f t="shared" si="17"/>
        <v>#REF!</v>
      </c>
      <c r="H40" t="e">
        <f t="shared" si="17"/>
        <v>#REF!</v>
      </c>
      <c r="I40" t="e">
        <f t="shared" si="17"/>
        <v>#REF!</v>
      </c>
      <c r="J40" t="e">
        <f t="shared" si="17"/>
        <v>#REF!</v>
      </c>
      <c r="K40" t="e">
        <f t="shared" si="17"/>
        <v>#REF!</v>
      </c>
      <c r="L40" t="e">
        <f t="shared" si="17"/>
        <v>#REF!</v>
      </c>
      <c r="M40" t="e">
        <f t="shared" si="17"/>
        <v>#REF!</v>
      </c>
      <c r="N40" t="e">
        <f t="shared" si="17"/>
        <v>#REF!</v>
      </c>
      <c r="O40" t="e">
        <f t="shared" si="17"/>
        <v>#REF!</v>
      </c>
      <c r="P40" t="e">
        <f t="shared" si="17"/>
        <v>#REF!</v>
      </c>
      <c r="Q40" t="e">
        <f t="shared" si="17"/>
        <v>#REF!</v>
      </c>
      <c r="R40" t="e">
        <f t="shared" si="17"/>
        <v>#REF!</v>
      </c>
      <c r="S40" t="e">
        <f t="shared" si="17"/>
        <v>#REF!</v>
      </c>
    </row>
    <row r="42" spans="2:19">
      <c r="B42" t="e">
        <f t="shared" ref="B42:B59" si="18">1/SQRT($B$4)</f>
        <v>#REF!</v>
      </c>
      <c r="C42" t="e">
        <f t="shared" ref="C42:C59" si="19">1/SQRT($C$5)</f>
        <v>#REF!</v>
      </c>
      <c r="D42" t="e">
        <f t="shared" ref="D42:D59" si="20">1/SQRT($D$6)</f>
        <v>#REF!</v>
      </c>
      <c r="E42" t="e">
        <f t="shared" ref="E42:E59" si="21">1/SQRT($E$7)</f>
        <v>#REF!</v>
      </c>
      <c r="F42" t="e">
        <f t="shared" ref="F42:F59" si="22">1/SQRT($F$8)</f>
        <v>#REF!</v>
      </c>
      <c r="G42" t="e">
        <f t="shared" ref="G42:G59" si="23">1/SQRT($G$9)</f>
        <v>#REF!</v>
      </c>
      <c r="H42" t="e">
        <f t="shared" ref="H42:H59" si="24">1/SQRT($H$10)</f>
        <v>#REF!</v>
      </c>
      <c r="I42" t="e">
        <f t="shared" ref="I42:I59" si="25">1/SQRT($I$11)</f>
        <v>#REF!</v>
      </c>
      <c r="J42" t="e">
        <f t="shared" ref="J42:J59" si="26">1/SQRT($J$12)</f>
        <v>#REF!</v>
      </c>
      <c r="K42" t="e">
        <f t="shared" ref="K42:K59" si="27">1/SQRT($K$13)</f>
        <v>#REF!</v>
      </c>
      <c r="L42" t="e">
        <f t="shared" ref="L42:L59" si="28">1/SQRT($L$14)</f>
        <v>#REF!</v>
      </c>
      <c r="M42" t="e">
        <f t="shared" ref="M42:M59" si="29">1/SQRT($M$15)</f>
        <v>#REF!</v>
      </c>
      <c r="N42" t="e">
        <f t="shared" ref="N42:N59" si="30">1/SQRT($N$16)</f>
        <v>#REF!</v>
      </c>
      <c r="O42" t="e">
        <f t="shared" ref="O42:O59" si="31">1/SQRT($O$17)</f>
        <v>#REF!</v>
      </c>
      <c r="P42" t="e">
        <f t="shared" ref="P42:P59" si="32">1/SQRT($P$18)</f>
        <v>#REF!</v>
      </c>
      <c r="Q42" t="e">
        <f t="shared" ref="Q42:Q59" si="33">1/SQRT($Q$19)</f>
        <v>#REF!</v>
      </c>
      <c r="R42" t="e">
        <f t="shared" ref="R42:R59" si="34">1/SQRT($R$20)</f>
        <v>#REF!</v>
      </c>
      <c r="S42" t="e">
        <f t="shared" ref="S42:S59" si="35">1/SQRT($S$21)</f>
        <v>#REF!</v>
      </c>
    </row>
    <row r="43" spans="2:19">
      <c r="B43" t="e">
        <f t="shared" si="18"/>
        <v>#REF!</v>
      </c>
      <c r="C43" t="e">
        <f t="shared" si="19"/>
        <v>#REF!</v>
      </c>
      <c r="D43" t="e">
        <f t="shared" si="20"/>
        <v>#REF!</v>
      </c>
      <c r="E43" t="e">
        <f t="shared" si="21"/>
        <v>#REF!</v>
      </c>
      <c r="F43" t="e">
        <f t="shared" si="22"/>
        <v>#REF!</v>
      </c>
      <c r="G43" t="e">
        <f t="shared" si="23"/>
        <v>#REF!</v>
      </c>
      <c r="H43" t="e">
        <f t="shared" si="24"/>
        <v>#REF!</v>
      </c>
      <c r="I43" t="e">
        <f t="shared" si="25"/>
        <v>#REF!</v>
      </c>
      <c r="J43" t="e">
        <f t="shared" si="26"/>
        <v>#REF!</v>
      </c>
      <c r="K43" t="e">
        <f t="shared" si="27"/>
        <v>#REF!</v>
      </c>
      <c r="L43" t="e">
        <f t="shared" si="28"/>
        <v>#REF!</v>
      </c>
      <c r="M43" t="e">
        <f t="shared" si="29"/>
        <v>#REF!</v>
      </c>
      <c r="N43" t="e">
        <f t="shared" si="30"/>
        <v>#REF!</v>
      </c>
      <c r="O43" t="e">
        <f t="shared" si="31"/>
        <v>#REF!</v>
      </c>
      <c r="P43" t="e">
        <f t="shared" si="32"/>
        <v>#REF!</v>
      </c>
      <c r="Q43" t="e">
        <f t="shared" si="33"/>
        <v>#REF!</v>
      </c>
      <c r="R43" t="e">
        <f t="shared" si="34"/>
        <v>#REF!</v>
      </c>
      <c r="S43" t="e">
        <f t="shared" si="35"/>
        <v>#REF!</v>
      </c>
    </row>
    <row r="44" spans="2:19">
      <c r="B44" t="e">
        <f t="shared" si="18"/>
        <v>#REF!</v>
      </c>
      <c r="C44" t="e">
        <f t="shared" si="19"/>
        <v>#REF!</v>
      </c>
      <c r="D44" t="e">
        <f t="shared" si="20"/>
        <v>#REF!</v>
      </c>
      <c r="E44" t="e">
        <f t="shared" si="21"/>
        <v>#REF!</v>
      </c>
      <c r="F44" t="e">
        <f t="shared" si="22"/>
        <v>#REF!</v>
      </c>
      <c r="G44" t="e">
        <f t="shared" si="23"/>
        <v>#REF!</v>
      </c>
      <c r="H44" t="e">
        <f t="shared" si="24"/>
        <v>#REF!</v>
      </c>
      <c r="I44" t="e">
        <f t="shared" si="25"/>
        <v>#REF!</v>
      </c>
      <c r="J44" t="e">
        <f t="shared" si="26"/>
        <v>#REF!</v>
      </c>
      <c r="K44" t="e">
        <f t="shared" si="27"/>
        <v>#REF!</v>
      </c>
      <c r="L44" t="e">
        <f t="shared" si="28"/>
        <v>#REF!</v>
      </c>
      <c r="M44" t="e">
        <f t="shared" si="29"/>
        <v>#REF!</v>
      </c>
      <c r="N44" t="e">
        <f t="shared" si="30"/>
        <v>#REF!</v>
      </c>
      <c r="O44" t="e">
        <f t="shared" si="31"/>
        <v>#REF!</v>
      </c>
      <c r="P44" t="e">
        <f t="shared" si="32"/>
        <v>#REF!</v>
      </c>
      <c r="Q44" t="e">
        <f t="shared" si="33"/>
        <v>#REF!</v>
      </c>
      <c r="R44" t="e">
        <f t="shared" si="34"/>
        <v>#REF!</v>
      </c>
      <c r="S44" t="e">
        <f t="shared" si="35"/>
        <v>#REF!</v>
      </c>
    </row>
    <row r="45" spans="2:19">
      <c r="B45" t="e">
        <f t="shared" si="18"/>
        <v>#REF!</v>
      </c>
      <c r="C45" t="e">
        <f t="shared" si="19"/>
        <v>#REF!</v>
      </c>
      <c r="D45" t="e">
        <f t="shared" si="20"/>
        <v>#REF!</v>
      </c>
      <c r="E45" t="e">
        <f t="shared" si="21"/>
        <v>#REF!</v>
      </c>
      <c r="F45" t="e">
        <f t="shared" si="22"/>
        <v>#REF!</v>
      </c>
      <c r="G45" t="e">
        <f t="shared" si="23"/>
        <v>#REF!</v>
      </c>
      <c r="H45" t="e">
        <f t="shared" si="24"/>
        <v>#REF!</v>
      </c>
      <c r="I45" t="e">
        <f t="shared" si="25"/>
        <v>#REF!</v>
      </c>
      <c r="J45" t="e">
        <f t="shared" si="26"/>
        <v>#REF!</v>
      </c>
      <c r="K45" t="e">
        <f t="shared" si="27"/>
        <v>#REF!</v>
      </c>
      <c r="L45" t="e">
        <f t="shared" si="28"/>
        <v>#REF!</v>
      </c>
      <c r="M45" t="e">
        <f t="shared" si="29"/>
        <v>#REF!</v>
      </c>
      <c r="N45" t="e">
        <f t="shared" si="30"/>
        <v>#REF!</v>
      </c>
      <c r="O45" t="e">
        <f t="shared" si="31"/>
        <v>#REF!</v>
      </c>
      <c r="P45" t="e">
        <f t="shared" si="32"/>
        <v>#REF!</v>
      </c>
      <c r="Q45" t="e">
        <f t="shared" si="33"/>
        <v>#REF!</v>
      </c>
      <c r="R45" t="e">
        <f t="shared" si="34"/>
        <v>#REF!</v>
      </c>
      <c r="S45" t="e">
        <f t="shared" si="35"/>
        <v>#REF!</v>
      </c>
    </row>
    <row r="46" spans="2:19">
      <c r="B46" t="e">
        <f t="shared" si="18"/>
        <v>#REF!</v>
      </c>
      <c r="C46" t="e">
        <f t="shared" si="19"/>
        <v>#REF!</v>
      </c>
      <c r="D46" t="e">
        <f t="shared" si="20"/>
        <v>#REF!</v>
      </c>
      <c r="E46" t="e">
        <f t="shared" si="21"/>
        <v>#REF!</v>
      </c>
      <c r="F46" t="e">
        <f t="shared" si="22"/>
        <v>#REF!</v>
      </c>
      <c r="G46" t="e">
        <f t="shared" si="23"/>
        <v>#REF!</v>
      </c>
      <c r="H46" t="e">
        <f t="shared" si="24"/>
        <v>#REF!</v>
      </c>
      <c r="I46" t="e">
        <f t="shared" si="25"/>
        <v>#REF!</v>
      </c>
      <c r="J46" t="e">
        <f t="shared" si="26"/>
        <v>#REF!</v>
      </c>
      <c r="K46" t="e">
        <f t="shared" si="27"/>
        <v>#REF!</v>
      </c>
      <c r="L46" t="e">
        <f t="shared" si="28"/>
        <v>#REF!</v>
      </c>
      <c r="M46" t="e">
        <f t="shared" si="29"/>
        <v>#REF!</v>
      </c>
      <c r="N46" t="e">
        <f t="shared" si="30"/>
        <v>#REF!</v>
      </c>
      <c r="O46" t="e">
        <f t="shared" si="31"/>
        <v>#REF!</v>
      </c>
      <c r="P46" t="e">
        <f t="shared" si="32"/>
        <v>#REF!</v>
      </c>
      <c r="Q46" t="e">
        <f t="shared" si="33"/>
        <v>#REF!</v>
      </c>
      <c r="R46" t="e">
        <f t="shared" si="34"/>
        <v>#REF!</v>
      </c>
      <c r="S46" t="e">
        <f t="shared" si="35"/>
        <v>#REF!</v>
      </c>
    </row>
    <row r="47" spans="2:19">
      <c r="B47" t="e">
        <f t="shared" si="18"/>
        <v>#REF!</v>
      </c>
      <c r="C47" t="e">
        <f t="shared" si="19"/>
        <v>#REF!</v>
      </c>
      <c r="D47" t="e">
        <f>1/SQRT($D$6)</f>
        <v>#REF!</v>
      </c>
      <c r="E47" t="e">
        <f t="shared" si="21"/>
        <v>#REF!</v>
      </c>
      <c r="F47" t="e">
        <f t="shared" si="22"/>
        <v>#REF!</v>
      </c>
      <c r="G47" t="e">
        <f t="shared" si="23"/>
        <v>#REF!</v>
      </c>
      <c r="H47" t="e">
        <f t="shared" si="24"/>
        <v>#REF!</v>
      </c>
      <c r="I47" t="e">
        <f t="shared" si="25"/>
        <v>#REF!</v>
      </c>
      <c r="J47" t="e">
        <f t="shared" si="26"/>
        <v>#REF!</v>
      </c>
      <c r="K47" t="e">
        <f t="shared" si="27"/>
        <v>#REF!</v>
      </c>
      <c r="L47" t="e">
        <f t="shared" si="28"/>
        <v>#REF!</v>
      </c>
      <c r="M47" t="e">
        <f t="shared" si="29"/>
        <v>#REF!</v>
      </c>
      <c r="N47" t="e">
        <f t="shared" si="30"/>
        <v>#REF!</v>
      </c>
      <c r="O47" t="e">
        <f t="shared" si="31"/>
        <v>#REF!</v>
      </c>
      <c r="P47" t="e">
        <f t="shared" si="32"/>
        <v>#REF!</v>
      </c>
      <c r="Q47" t="e">
        <f t="shared" si="33"/>
        <v>#REF!</v>
      </c>
      <c r="R47" t="e">
        <f t="shared" si="34"/>
        <v>#REF!</v>
      </c>
      <c r="S47" t="e">
        <f t="shared" si="35"/>
        <v>#REF!</v>
      </c>
    </row>
    <row r="48" spans="2:19">
      <c r="B48" t="e">
        <f t="shared" si="18"/>
        <v>#REF!</v>
      </c>
      <c r="C48" t="e">
        <f t="shared" si="19"/>
        <v>#REF!</v>
      </c>
      <c r="D48" t="e">
        <f>1/SQRT($D$6)</f>
        <v>#REF!</v>
      </c>
      <c r="E48" t="e">
        <f t="shared" si="21"/>
        <v>#REF!</v>
      </c>
      <c r="F48" t="e">
        <f t="shared" si="22"/>
        <v>#REF!</v>
      </c>
      <c r="G48" t="e">
        <f t="shared" si="23"/>
        <v>#REF!</v>
      </c>
      <c r="H48" t="e">
        <f t="shared" si="24"/>
        <v>#REF!</v>
      </c>
      <c r="I48" t="e">
        <f t="shared" si="25"/>
        <v>#REF!</v>
      </c>
      <c r="J48" t="e">
        <f t="shared" si="26"/>
        <v>#REF!</v>
      </c>
      <c r="K48" t="e">
        <f t="shared" si="27"/>
        <v>#REF!</v>
      </c>
      <c r="L48" t="e">
        <f t="shared" si="28"/>
        <v>#REF!</v>
      </c>
      <c r="M48" t="e">
        <f t="shared" si="29"/>
        <v>#REF!</v>
      </c>
      <c r="N48" t="e">
        <f t="shared" si="30"/>
        <v>#REF!</v>
      </c>
      <c r="O48" t="e">
        <f t="shared" si="31"/>
        <v>#REF!</v>
      </c>
      <c r="P48" t="e">
        <f t="shared" si="32"/>
        <v>#REF!</v>
      </c>
      <c r="Q48" t="e">
        <f t="shared" si="33"/>
        <v>#REF!</v>
      </c>
      <c r="R48" t="e">
        <f t="shared" si="34"/>
        <v>#REF!</v>
      </c>
      <c r="S48" t="e">
        <f t="shared" si="35"/>
        <v>#REF!</v>
      </c>
    </row>
    <row r="49" spans="2:19">
      <c r="B49" t="e">
        <f t="shared" si="18"/>
        <v>#REF!</v>
      </c>
      <c r="C49" t="e">
        <f t="shared" si="19"/>
        <v>#REF!</v>
      </c>
      <c r="D49" t="e">
        <f>1/SQRT($D$6)</f>
        <v>#REF!</v>
      </c>
      <c r="E49" t="e">
        <f t="shared" si="21"/>
        <v>#REF!</v>
      </c>
      <c r="F49" t="e">
        <f t="shared" si="22"/>
        <v>#REF!</v>
      </c>
      <c r="G49" t="e">
        <f t="shared" si="23"/>
        <v>#REF!</v>
      </c>
      <c r="H49" t="e">
        <f t="shared" si="24"/>
        <v>#REF!</v>
      </c>
      <c r="I49" t="e">
        <f t="shared" si="25"/>
        <v>#REF!</v>
      </c>
      <c r="J49" t="e">
        <f t="shared" si="26"/>
        <v>#REF!</v>
      </c>
      <c r="K49" t="e">
        <f t="shared" si="27"/>
        <v>#REF!</v>
      </c>
      <c r="L49" t="e">
        <f t="shared" si="28"/>
        <v>#REF!</v>
      </c>
      <c r="M49" t="e">
        <f t="shared" si="29"/>
        <v>#REF!</v>
      </c>
      <c r="N49" t="e">
        <f t="shared" si="30"/>
        <v>#REF!</v>
      </c>
      <c r="O49" t="e">
        <f t="shared" si="31"/>
        <v>#REF!</v>
      </c>
      <c r="P49" t="e">
        <f t="shared" si="32"/>
        <v>#REF!</v>
      </c>
      <c r="Q49" t="e">
        <f t="shared" si="33"/>
        <v>#REF!</v>
      </c>
      <c r="R49" t="e">
        <f t="shared" si="34"/>
        <v>#REF!</v>
      </c>
      <c r="S49" t="e">
        <f t="shared" si="35"/>
        <v>#REF!</v>
      </c>
    </row>
    <row r="50" spans="2:19">
      <c r="B50" t="e">
        <f t="shared" si="18"/>
        <v>#REF!</v>
      </c>
      <c r="C50" t="e">
        <f t="shared" si="19"/>
        <v>#REF!</v>
      </c>
      <c r="D50" t="e">
        <f t="shared" si="20"/>
        <v>#REF!</v>
      </c>
      <c r="E50" t="e">
        <f t="shared" si="21"/>
        <v>#REF!</v>
      </c>
      <c r="F50" t="e">
        <f t="shared" si="22"/>
        <v>#REF!</v>
      </c>
      <c r="G50" t="e">
        <f t="shared" si="23"/>
        <v>#REF!</v>
      </c>
      <c r="H50" t="e">
        <f t="shared" si="24"/>
        <v>#REF!</v>
      </c>
      <c r="I50" t="e">
        <f t="shared" si="25"/>
        <v>#REF!</v>
      </c>
      <c r="J50" t="e">
        <f t="shared" si="26"/>
        <v>#REF!</v>
      </c>
      <c r="K50" t="e">
        <f t="shared" si="27"/>
        <v>#REF!</v>
      </c>
      <c r="L50" t="e">
        <f t="shared" si="28"/>
        <v>#REF!</v>
      </c>
      <c r="M50" t="e">
        <f t="shared" si="29"/>
        <v>#REF!</v>
      </c>
      <c r="N50" t="e">
        <f t="shared" si="30"/>
        <v>#REF!</v>
      </c>
      <c r="O50" t="e">
        <f t="shared" si="31"/>
        <v>#REF!</v>
      </c>
      <c r="P50" t="e">
        <f t="shared" si="32"/>
        <v>#REF!</v>
      </c>
      <c r="Q50" t="e">
        <f t="shared" si="33"/>
        <v>#REF!</v>
      </c>
      <c r="R50" t="e">
        <f t="shared" si="34"/>
        <v>#REF!</v>
      </c>
      <c r="S50" t="e">
        <f t="shared" si="35"/>
        <v>#REF!</v>
      </c>
    </row>
    <row r="51" spans="2:19">
      <c r="B51" t="e">
        <f t="shared" si="18"/>
        <v>#REF!</v>
      </c>
      <c r="C51" t="e">
        <f t="shared" si="19"/>
        <v>#REF!</v>
      </c>
      <c r="D51" t="e">
        <f t="shared" si="20"/>
        <v>#REF!</v>
      </c>
      <c r="E51" t="e">
        <f t="shared" si="21"/>
        <v>#REF!</v>
      </c>
      <c r="F51" t="e">
        <f t="shared" si="22"/>
        <v>#REF!</v>
      </c>
      <c r="G51" t="e">
        <f t="shared" si="23"/>
        <v>#REF!</v>
      </c>
      <c r="H51" t="e">
        <f t="shared" si="24"/>
        <v>#REF!</v>
      </c>
      <c r="I51" t="e">
        <f t="shared" si="25"/>
        <v>#REF!</v>
      </c>
      <c r="J51" t="e">
        <f t="shared" si="26"/>
        <v>#REF!</v>
      </c>
      <c r="K51" t="e">
        <f t="shared" si="27"/>
        <v>#REF!</v>
      </c>
      <c r="L51" t="e">
        <f t="shared" si="28"/>
        <v>#REF!</v>
      </c>
      <c r="M51" t="e">
        <f t="shared" si="29"/>
        <v>#REF!</v>
      </c>
      <c r="N51" t="e">
        <f t="shared" si="30"/>
        <v>#REF!</v>
      </c>
      <c r="O51" t="e">
        <f t="shared" si="31"/>
        <v>#REF!</v>
      </c>
      <c r="P51" t="e">
        <f t="shared" si="32"/>
        <v>#REF!</v>
      </c>
      <c r="Q51" t="e">
        <f t="shared" si="33"/>
        <v>#REF!</v>
      </c>
      <c r="R51" t="e">
        <f t="shared" si="34"/>
        <v>#REF!</v>
      </c>
      <c r="S51" t="e">
        <f t="shared" si="35"/>
        <v>#REF!</v>
      </c>
    </row>
    <row r="52" spans="2:19">
      <c r="B52" t="e">
        <f t="shared" si="18"/>
        <v>#REF!</v>
      </c>
      <c r="C52" t="e">
        <f t="shared" si="19"/>
        <v>#REF!</v>
      </c>
      <c r="D52" t="e">
        <f t="shared" si="20"/>
        <v>#REF!</v>
      </c>
      <c r="E52" t="e">
        <f t="shared" si="21"/>
        <v>#REF!</v>
      </c>
      <c r="F52" t="e">
        <f t="shared" si="22"/>
        <v>#REF!</v>
      </c>
      <c r="G52" t="e">
        <f t="shared" si="23"/>
        <v>#REF!</v>
      </c>
      <c r="H52" t="e">
        <f t="shared" si="24"/>
        <v>#REF!</v>
      </c>
      <c r="I52" t="e">
        <f t="shared" si="25"/>
        <v>#REF!</v>
      </c>
      <c r="J52" t="e">
        <f t="shared" si="26"/>
        <v>#REF!</v>
      </c>
      <c r="K52" t="e">
        <f t="shared" si="27"/>
        <v>#REF!</v>
      </c>
      <c r="L52" t="e">
        <f t="shared" si="28"/>
        <v>#REF!</v>
      </c>
      <c r="M52" t="e">
        <f t="shared" si="29"/>
        <v>#REF!</v>
      </c>
      <c r="N52" t="e">
        <f t="shared" si="30"/>
        <v>#REF!</v>
      </c>
      <c r="O52" t="e">
        <f t="shared" si="31"/>
        <v>#REF!</v>
      </c>
      <c r="P52" t="e">
        <f t="shared" si="32"/>
        <v>#REF!</v>
      </c>
      <c r="Q52" t="e">
        <f t="shared" si="33"/>
        <v>#REF!</v>
      </c>
      <c r="R52" t="e">
        <f t="shared" si="34"/>
        <v>#REF!</v>
      </c>
      <c r="S52" t="e">
        <f t="shared" si="35"/>
        <v>#REF!</v>
      </c>
    </row>
    <row r="53" spans="2:19">
      <c r="B53" t="e">
        <f t="shared" si="18"/>
        <v>#REF!</v>
      </c>
      <c r="C53" t="e">
        <f t="shared" si="19"/>
        <v>#REF!</v>
      </c>
      <c r="D53" t="e">
        <f t="shared" si="20"/>
        <v>#REF!</v>
      </c>
      <c r="E53" t="e">
        <f t="shared" si="21"/>
        <v>#REF!</v>
      </c>
      <c r="F53" t="e">
        <f t="shared" si="22"/>
        <v>#REF!</v>
      </c>
      <c r="G53" t="e">
        <f t="shared" si="23"/>
        <v>#REF!</v>
      </c>
      <c r="H53" t="e">
        <f t="shared" si="24"/>
        <v>#REF!</v>
      </c>
      <c r="I53" t="e">
        <f t="shared" si="25"/>
        <v>#REF!</v>
      </c>
      <c r="J53" t="e">
        <f t="shared" si="26"/>
        <v>#REF!</v>
      </c>
      <c r="K53" t="e">
        <f t="shared" si="27"/>
        <v>#REF!</v>
      </c>
      <c r="L53" t="e">
        <f t="shared" si="28"/>
        <v>#REF!</v>
      </c>
      <c r="M53" t="e">
        <f t="shared" si="29"/>
        <v>#REF!</v>
      </c>
      <c r="N53" t="e">
        <f t="shared" si="30"/>
        <v>#REF!</v>
      </c>
      <c r="O53" t="e">
        <f t="shared" si="31"/>
        <v>#REF!</v>
      </c>
      <c r="P53" t="e">
        <f t="shared" si="32"/>
        <v>#REF!</v>
      </c>
      <c r="Q53" t="e">
        <f t="shared" si="33"/>
        <v>#REF!</v>
      </c>
      <c r="R53" t="e">
        <f t="shared" si="34"/>
        <v>#REF!</v>
      </c>
      <c r="S53" t="e">
        <f t="shared" si="35"/>
        <v>#REF!</v>
      </c>
    </row>
    <row r="54" spans="2:19">
      <c r="B54" t="e">
        <f t="shared" si="18"/>
        <v>#REF!</v>
      </c>
      <c r="C54" t="e">
        <f t="shared" si="19"/>
        <v>#REF!</v>
      </c>
      <c r="D54" t="e">
        <f t="shared" si="20"/>
        <v>#REF!</v>
      </c>
      <c r="E54" t="e">
        <f t="shared" si="21"/>
        <v>#REF!</v>
      </c>
      <c r="F54" t="e">
        <f t="shared" si="22"/>
        <v>#REF!</v>
      </c>
      <c r="G54" t="e">
        <f t="shared" si="23"/>
        <v>#REF!</v>
      </c>
      <c r="H54" t="e">
        <f t="shared" si="24"/>
        <v>#REF!</v>
      </c>
      <c r="I54" t="e">
        <f t="shared" si="25"/>
        <v>#REF!</v>
      </c>
      <c r="J54" t="e">
        <f t="shared" si="26"/>
        <v>#REF!</v>
      </c>
      <c r="K54" t="e">
        <f t="shared" si="27"/>
        <v>#REF!</v>
      </c>
      <c r="L54" t="e">
        <f t="shared" si="28"/>
        <v>#REF!</v>
      </c>
      <c r="M54" t="e">
        <f t="shared" si="29"/>
        <v>#REF!</v>
      </c>
      <c r="N54" t="e">
        <f t="shared" si="30"/>
        <v>#REF!</v>
      </c>
      <c r="O54" t="e">
        <f t="shared" si="31"/>
        <v>#REF!</v>
      </c>
      <c r="P54" t="e">
        <f t="shared" si="32"/>
        <v>#REF!</v>
      </c>
      <c r="Q54" t="e">
        <f t="shared" si="33"/>
        <v>#REF!</v>
      </c>
      <c r="R54" t="e">
        <f t="shared" si="34"/>
        <v>#REF!</v>
      </c>
      <c r="S54" t="e">
        <f t="shared" si="35"/>
        <v>#REF!</v>
      </c>
    </row>
    <row r="55" spans="2:19">
      <c r="B55" t="e">
        <f t="shared" si="18"/>
        <v>#REF!</v>
      </c>
      <c r="C55" t="e">
        <f t="shared" si="19"/>
        <v>#REF!</v>
      </c>
      <c r="D55" t="e">
        <f t="shared" si="20"/>
        <v>#REF!</v>
      </c>
      <c r="E55" t="e">
        <f t="shared" si="21"/>
        <v>#REF!</v>
      </c>
      <c r="F55" t="e">
        <f t="shared" si="22"/>
        <v>#REF!</v>
      </c>
      <c r="G55" t="e">
        <f t="shared" si="23"/>
        <v>#REF!</v>
      </c>
      <c r="H55" t="e">
        <f t="shared" si="24"/>
        <v>#REF!</v>
      </c>
      <c r="I55" t="e">
        <f t="shared" si="25"/>
        <v>#REF!</v>
      </c>
      <c r="J55" t="e">
        <f t="shared" si="26"/>
        <v>#REF!</v>
      </c>
      <c r="K55" t="e">
        <f t="shared" si="27"/>
        <v>#REF!</v>
      </c>
      <c r="L55" t="e">
        <f t="shared" si="28"/>
        <v>#REF!</v>
      </c>
      <c r="M55" t="e">
        <f t="shared" si="29"/>
        <v>#REF!</v>
      </c>
      <c r="N55" t="e">
        <f t="shared" si="30"/>
        <v>#REF!</v>
      </c>
      <c r="O55" t="e">
        <f t="shared" si="31"/>
        <v>#REF!</v>
      </c>
      <c r="P55" t="e">
        <f t="shared" si="32"/>
        <v>#REF!</v>
      </c>
      <c r="Q55" t="e">
        <f t="shared" si="33"/>
        <v>#REF!</v>
      </c>
      <c r="R55" t="e">
        <f t="shared" si="34"/>
        <v>#REF!</v>
      </c>
      <c r="S55" t="e">
        <f t="shared" si="35"/>
        <v>#REF!</v>
      </c>
    </row>
    <row r="56" spans="2:19">
      <c r="B56" t="e">
        <f t="shared" si="18"/>
        <v>#REF!</v>
      </c>
      <c r="C56" t="e">
        <f t="shared" si="19"/>
        <v>#REF!</v>
      </c>
      <c r="D56" t="e">
        <f t="shared" si="20"/>
        <v>#REF!</v>
      </c>
      <c r="E56" t="e">
        <f t="shared" si="21"/>
        <v>#REF!</v>
      </c>
      <c r="F56" t="e">
        <f t="shared" si="22"/>
        <v>#REF!</v>
      </c>
      <c r="G56" t="e">
        <f t="shared" si="23"/>
        <v>#REF!</v>
      </c>
      <c r="H56" t="e">
        <f t="shared" si="24"/>
        <v>#REF!</v>
      </c>
      <c r="I56" t="e">
        <f t="shared" si="25"/>
        <v>#REF!</v>
      </c>
      <c r="J56" t="e">
        <f t="shared" si="26"/>
        <v>#REF!</v>
      </c>
      <c r="K56" t="e">
        <f t="shared" si="27"/>
        <v>#REF!</v>
      </c>
      <c r="L56" t="e">
        <f t="shared" si="28"/>
        <v>#REF!</v>
      </c>
      <c r="M56" t="e">
        <f t="shared" si="29"/>
        <v>#REF!</v>
      </c>
      <c r="N56" t="e">
        <f t="shared" si="30"/>
        <v>#REF!</v>
      </c>
      <c r="O56" t="e">
        <f t="shared" si="31"/>
        <v>#REF!</v>
      </c>
      <c r="P56" t="e">
        <f t="shared" si="32"/>
        <v>#REF!</v>
      </c>
      <c r="Q56" t="e">
        <f t="shared" si="33"/>
        <v>#REF!</v>
      </c>
      <c r="R56" t="e">
        <f t="shared" si="34"/>
        <v>#REF!</v>
      </c>
      <c r="S56" t="e">
        <f t="shared" si="35"/>
        <v>#REF!</v>
      </c>
    </row>
    <row r="57" spans="2:19">
      <c r="B57" t="e">
        <f t="shared" si="18"/>
        <v>#REF!</v>
      </c>
      <c r="C57" t="e">
        <f t="shared" si="19"/>
        <v>#REF!</v>
      </c>
      <c r="D57" t="e">
        <f t="shared" si="20"/>
        <v>#REF!</v>
      </c>
      <c r="E57" t="e">
        <f t="shared" si="21"/>
        <v>#REF!</v>
      </c>
      <c r="F57" t="e">
        <f t="shared" si="22"/>
        <v>#REF!</v>
      </c>
      <c r="G57" t="e">
        <f t="shared" si="23"/>
        <v>#REF!</v>
      </c>
      <c r="H57" t="e">
        <f t="shared" si="24"/>
        <v>#REF!</v>
      </c>
      <c r="I57" t="e">
        <f t="shared" si="25"/>
        <v>#REF!</v>
      </c>
      <c r="J57" t="e">
        <f t="shared" si="26"/>
        <v>#REF!</v>
      </c>
      <c r="K57" t="e">
        <f t="shared" si="27"/>
        <v>#REF!</v>
      </c>
      <c r="L57" t="e">
        <f t="shared" si="28"/>
        <v>#REF!</v>
      </c>
      <c r="M57" t="e">
        <f t="shared" si="29"/>
        <v>#REF!</v>
      </c>
      <c r="N57" t="e">
        <f t="shared" si="30"/>
        <v>#REF!</v>
      </c>
      <c r="O57" t="e">
        <f t="shared" si="31"/>
        <v>#REF!</v>
      </c>
      <c r="P57" t="e">
        <f t="shared" si="32"/>
        <v>#REF!</v>
      </c>
      <c r="Q57" t="e">
        <f t="shared" si="33"/>
        <v>#REF!</v>
      </c>
      <c r="R57" t="e">
        <f t="shared" si="34"/>
        <v>#REF!</v>
      </c>
      <c r="S57" t="e">
        <f t="shared" si="35"/>
        <v>#REF!</v>
      </c>
    </row>
    <row r="58" spans="2:19">
      <c r="B58" t="e">
        <f t="shared" si="18"/>
        <v>#REF!</v>
      </c>
      <c r="C58" t="e">
        <f t="shared" si="19"/>
        <v>#REF!</v>
      </c>
      <c r="D58" t="e">
        <f t="shared" si="20"/>
        <v>#REF!</v>
      </c>
      <c r="E58" t="e">
        <f t="shared" si="21"/>
        <v>#REF!</v>
      </c>
      <c r="F58" t="e">
        <f t="shared" si="22"/>
        <v>#REF!</v>
      </c>
      <c r="G58" t="e">
        <f t="shared" si="23"/>
        <v>#REF!</v>
      </c>
      <c r="H58" t="e">
        <f t="shared" si="24"/>
        <v>#REF!</v>
      </c>
      <c r="I58" t="e">
        <f t="shared" si="25"/>
        <v>#REF!</v>
      </c>
      <c r="J58" t="e">
        <f t="shared" si="26"/>
        <v>#REF!</v>
      </c>
      <c r="K58" t="e">
        <f t="shared" si="27"/>
        <v>#REF!</v>
      </c>
      <c r="L58" t="e">
        <f t="shared" si="28"/>
        <v>#REF!</v>
      </c>
      <c r="M58" t="e">
        <f t="shared" si="29"/>
        <v>#REF!</v>
      </c>
      <c r="N58" t="e">
        <f t="shared" si="30"/>
        <v>#REF!</v>
      </c>
      <c r="O58" t="e">
        <f t="shared" si="31"/>
        <v>#REF!</v>
      </c>
      <c r="P58" t="e">
        <f t="shared" si="32"/>
        <v>#REF!</v>
      </c>
      <c r="Q58" t="e">
        <f t="shared" si="33"/>
        <v>#REF!</v>
      </c>
      <c r="R58" t="e">
        <f t="shared" si="34"/>
        <v>#REF!</v>
      </c>
      <c r="S58" t="e">
        <f t="shared" si="35"/>
        <v>#REF!</v>
      </c>
    </row>
    <row r="59" spans="2:19">
      <c r="B59" t="e">
        <f t="shared" si="18"/>
        <v>#REF!</v>
      </c>
      <c r="C59" t="e">
        <f t="shared" si="19"/>
        <v>#REF!</v>
      </c>
      <c r="D59" t="e">
        <f t="shared" si="20"/>
        <v>#REF!</v>
      </c>
      <c r="E59" t="e">
        <f t="shared" si="21"/>
        <v>#REF!</v>
      </c>
      <c r="F59" t="e">
        <f t="shared" si="22"/>
        <v>#REF!</v>
      </c>
      <c r="G59" t="e">
        <f t="shared" si="23"/>
        <v>#REF!</v>
      </c>
      <c r="H59" t="e">
        <f t="shared" si="24"/>
        <v>#REF!</v>
      </c>
      <c r="I59" t="e">
        <f t="shared" si="25"/>
        <v>#REF!</v>
      </c>
      <c r="J59" t="e">
        <f t="shared" si="26"/>
        <v>#REF!</v>
      </c>
      <c r="K59" t="e">
        <f t="shared" si="27"/>
        <v>#REF!</v>
      </c>
      <c r="L59" t="e">
        <f t="shared" si="28"/>
        <v>#REF!</v>
      </c>
      <c r="M59" t="e">
        <f t="shared" si="29"/>
        <v>#REF!</v>
      </c>
      <c r="N59" t="e">
        <f t="shared" si="30"/>
        <v>#REF!</v>
      </c>
      <c r="O59" t="e">
        <f t="shared" si="31"/>
        <v>#REF!</v>
      </c>
      <c r="P59" t="e">
        <f t="shared" si="32"/>
        <v>#REF!</v>
      </c>
      <c r="Q59" t="e">
        <f t="shared" si="33"/>
        <v>#REF!</v>
      </c>
      <c r="R59" t="e">
        <f t="shared" si="34"/>
        <v>#REF!</v>
      </c>
      <c r="S59" t="e">
        <f t="shared" si="35"/>
        <v>#REF!</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8:BF222"/>
  <sheetViews>
    <sheetView showGridLines="0" zoomScale="90" zoomScaleNormal="90" workbookViewId="0">
      <selection activeCell="A115" sqref="A115"/>
    </sheetView>
  </sheetViews>
  <sheetFormatPr baseColWidth="10" defaultColWidth="11" defaultRowHeight="15.75"/>
  <cols>
    <col min="1" max="1" width="11" style="12"/>
    <col min="2" max="19" width="10.625" style="12" customWidth="1"/>
    <col min="20" max="20" width="14.125" style="12" bestFit="1" customWidth="1"/>
    <col min="21" max="21" width="11.625" style="12" bestFit="1" customWidth="1"/>
    <col min="22" max="24" width="11" style="12"/>
    <col min="25" max="25" width="11.625" style="12" customWidth="1"/>
    <col min="26" max="26" width="11.625" style="12" bestFit="1" customWidth="1"/>
    <col min="27" max="29" width="11" style="12"/>
    <col min="30" max="30" width="15" style="12" customWidth="1"/>
    <col min="31" max="36" width="11" style="12"/>
    <col min="37" max="37" width="13.125" style="12" customWidth="1"/>
    <col min="38" max="39" width="12" style="12" customWidth="1"/>
    <col min="40" max="40" width="13.125" style="12" customWidth="1"/>
    <col min="41" max="43" width="12" style="12" customWidth="1"/>
    <col min="44" max="45" width="11" style="12"/>
    <col min="46" max="48" width="11.625" style="12" bestFit="1" customWidth="1"/>
    <col min="49" max="49" width="14.125" style="12" bestFit="1" customWidth="1"/>
    <col min="50" max="51" width="11" style="12"/>
    <col min="52" max="52" width="14.125" style="12" bestFit="1" customWidth="1"/>
    <col min="53" max="53" width="11.625" style="12" bestFit="1" customWidth="1"/>
    <col min="54" max="54" width="11.625" style="12" customWidth="1"/>
    <col min="55" max="16384" width="11" style="12"/>
  </cols>
  <sheetData>
    <row r="18" spans="5:6">
      <c r="E18" s="140"/>
    </row>
    <row r="19" spans="5:6">
      <c r="E19" s="140"/>
    </row>
    <row r="20" spans="5:6">
      <c r="E20" s="140"/>
    </row>
    <row r="21" spans="5:6">
      <c r="E21" s="140"/>
    </row>
    <row r="22" spans="5:6">
      <c r="E22" s="140"/>
    </row>
    <row r="23" spans="5:6">
      <c r="E23" s="140"/>
    </row>
    <row r="24" spans="5:6">
      <c r="E24" s="140"/>
    </row>
    <row r="25" spans="5:6">
      <c r="E25" s="140"/>
    </row>
    <row r="26" spans="5:6">
      <c r="E26" s="140"/>
    </row>
    <row r="27" spans="5:6">
      <c r="E27" s="140"/>
    </row>
    <row r="28" spans="5:6">
      <c r="E28" s="140"/>
      <c r="F28" s="140"/>
    </row>
    <row r="29" spans="5:6">
      <c r="E29" s="140"/>
      <c r="F29" s="140"/>
    </row>
    <row r="30" spans="5:6">
      <c r="E30" s="140"/>
      <c r="F30" s="140"/>
    </row>
    <row r="31" spans="5:6">
      <c r="E31" s="140"/>
      <c r="F31" s="140"/>
    </row>
    <row r="32" spans="5:6">
      <c r="E32" s="140"/>
      <c r="F32" s="140"/>
    </row>
    <row r="33" spans="1:22">
      <c r="E33" s="140"/>
      <c r="F33" s="140"/>
    </row>
    <row r="34" spans="1:22">
      <c r="E34" s="140"/>
      <c r="F34" s="140"/>
    </row>
    <row r="35" spans="1:22">
      <c r="E35" s="140"/>
      <c r="F35" s="140"/>
    </row>
    <row r="36" spans="1:22" s="141" customFormat="1">
      <c r="E36" s="142"/>
      <c r="F36" s="142"/>
    </row>
    <row r="37" spans="1:22" s="79" customFormat="1">
      <c r="A37" s="79" t="s">
        <v>13</v>
      </c>
      <c r="B37" s="79" t="s">
        <v>14</v>
      </c>
      <c r="C37" s="79" t="s">
        <v>157</v>
      </c>
      <c r="D37" s="79" t="s">
        <v>153</v>
      </c>
      <c r="E37" s="79" t="s">
        <v>154</v>
      </c>
      <c r="G37" s="138" t="s">
        <v>155</v>
      </c>
      <c r="H37" s="79" t="s">
        <v>156</v>
      </c>
      <c r="I37" s="80" t="s">
        <v>201</v>
      </c>
      <c r="J37" s="79" t="s">
        <v>0</v>
      </c>
      <c r="K37" s="343" t="s">
        <v>202</v>
      </c>
      <c r="L37" s="343"/>
      <c r="M37" s="343"/>
      <c r="N37" s="343"/>
      <c r="O37" s="343"/>
      <c r="P37" s="344" t="s">
        <v>203</v>
      </c>
      <c r="Q37" s="344"/>
      <c r="R37" s="344"/>
      <c r="S37" s="344"/>
      <c r="T37" s="344"/>
    </row>
    <row r="38" spans="1:22" s="79" customFormat="1">
      <c r="G38" s="138"/>
      <c r="I38" s="80"/>
      <c r="K38" s="137"/>
      <c r="L38" s="137"/>
      <c r="M38" s="137"/>
      <c r="N38" s="137"/>
      <c r="O38" s="137"/>
      <c r="P38" s="138"/>
      <c r="Q38" s="138"/>
      <c r="R38" s="138"/>
      <c r="S38" s="138"/>
      <c r="T38" s="138"/>
    </row>
    <row r="39" spans="1:22" s="141" customFormat="1">
      <c r="G39" s="143"/>
      <c r="I39" s="144"/>
      <c r="K39" s="145"/>
      <c r="L39" s="145"/>
      <c r="M39" s="145"/>
      <c r="N39" s="145"/>
      <c r="O39" s="145"/>
      <c r="P39" s="143"/>
      <c r="Q39" s="143"/>
      <c r="R39" s="143"/>
      <c r="S39" s="143"/>
      <c r="T39" s="143"/>
    </row>
    <row r="40" spans="1:22" s="141" customFormat="1">
      <c r="G40" s="143"/>
      <c r="I40" s="144"/>
      <c r="K40" s="145"/>
      <c r="L40" s="145"/>
      <c r="M40" s="145"/>
      <c r="N40" s="145"/>
      <c r="O40" s="145"/>
      <c r="P40" s="143"/>
      <c r="Q40" s="143"/>
      <c r="R40" s="143"/>
      <c r="S40" s="143"/>
      <c r="T40" s="143"/>
    </row>
    <row r="41" spans="1:22" s="141" customFormat="1">
      <c r="G41" s="143"/>
      <c r="I41" s="144"/>
      <c r="K41" s="145"/>
      <c r="L41" s="145"/>
      <c r="M41" s="145"/>
      <c r="N41" s="145"/>
      <c r="O41" s="145"/>
      <c r="P41" s="143"/>
      <c r="Q41" s="143"/>
      <c r="R41" s="143"/>
      <c r="S41" s="143"/>
      <c r="T41" s="143"/>
    </row>
    <row r="42" spans="1:22" s="141" customFormat="1">
      <c r="G42" s="143"/>
      <c r="I42" s="144"/>
      <c r="K42" s="145"/>
      <c r="L42" s="145"/>
      <c r="M42" s="145"/>
      <c r="N42" s="145"/>
      <c r="O42" s="145"/>
      <c r="P42" s="143"/>
      <c r="Q42" s="143"/>
      <c r="R42" s="143"/>
      <c r="S42" s="143"/>
      <c r="T42" s="143"/>
    </row>
    <row r="43" spans="1:22" s="141" customFormat="1">
      <c r="G43" s="143"/>
      <c r="I43" s="144"/>
      <c r="K43" s="145"/>
      <c r="L43" s="145"/>
      <c r="M43" s="145"/>
      <c r="N43" s="145"/>
      <c r="O43" s="145"/>
      <c r="P43" s="143"/>
      <c r="Q43" s="143"/>
      <c r="R43" s="143"/>
      <c r="S43" s="143"/>
      <c r="T43" s="143"/>
    </row>
    <row r="44" spans="1:22" s="141" customFormat="1">
      <c r="G44" s="143"/>
      <c r="I44" s="144"/>
      <c r="K44" s="145"/>
      <c r="L44" s="145"/>
      <c r="M44" s="145"/>
      <c r="N44" s="145"/>
      <c r="O44" s="145"/>
      <c r="P44" s="143"/>
      <c r="Q44" s="143"/>
      <c r="R44" s="143"/>
      <c r="S44" s="143"/>
      <c r="T44" s="143"/>
    </row>
    <row r="45" spans="1:22" s="141" customFormat="1">
      <c r="G45" s="143"/>
      <c r="I45" s="144"/>
      <c r="K45" s="145"/>
      <c r="L45" s="145"/>
      <c r="M45" s="145"/>
      <c r="N45" s="145"/>
      <c r="O45" s="145"/>
      <c r="P45" s="143"/>
      <c r="Q45" s="143"/>
      <c r="R45" s="143"/>
      <c r="S45" s="143"/>
      <c r="T45" s="143"/>
    </row>
    <row r="46" spans="1:22" s="141" customFormat="1">
      <c r="G46" s="143"/>
      <c r="I46" s="144"/>
      <c r="K46" s="145"/>
      <c r="L46" s="145"/>
      <c r="M46" s="145"/>
      <c r="N46" s="145"/>
      <c r="O46" s="145"/>
      <c r="P46" s="145"/>
      <c r="Q46" s="145"/>
      <c r="R46" s="143"/>
      <c r="S46" s="143"/>
      <c r="T46" s="143"/>
      <c r="U46" s="143"/>
      <c r="V46" s="143"/>
    </row>
    <row r="47" spans="1:22" s="141" customFormat="1">
      <c r="G47" s="143"/>
      <c r="I47" s="144"/>
      <c r="K47" s="145"/>
      <c r="L47" s="145"/>
      <c r="M47" s="145"/>
      <c r="N47" s="145"/>
      <c r="O47" s="145"/>
      <c r="P47" s="145"/>
      <c r="Q47" s="145"/>
      <c r="R47" s="143"/>
      <c r="S47" s="143"/>
      <c r="T47" s="143"/>
      <c r="U47" s="143"/>
      <c r="V47" s="143"/>
    </row>
    <row r="48" spans="1:22" s="141" customFormat="1">
      <c r="G48" s="143"/>
      <c r="I48" s="144"/>
      <c r="K48" s="145"/>
      <c r="L48" s="145"/>
      <c r="M48" s="145"/>
      <c r="N48" s="145"/>
      <c r="O48" s="145"/>
      <c r="P48" s="145"/>
      <c r="Q48" s="145"/>
      <c r="R48" s="143"/>
      <c r="S48" s="143"/>
      <c r="T48" s="143"/>
      <c r="U48" s="143"/>
      <c r="V48" s="143"/>
    </row>
    <row r="49" spans="6:31" s="141" customFormat="1">
      <c r="G49" s="143"/>
      <c r="I49" s="144"/>
      <c r="K49" s="145"/>
      <c r="L49" s="145"/>
      <c r="M49" s="145"/>
      <c r="N49" s="145"/>
      <c r="O49" s="145"/>
      <c r="P49" s="145"/>
      <c r="Q49" s="145"/>
      <c r="R49" s="143"/>
      <c r="S49" s="143"/>
      <c r="T49" s="143"/>
      <c r="U49" s="143"/>
      <c r="V49" s="143"/>
    </row>
    <row r="50" spans="6:31" s="141" customFormat="1">
      <c r="F50" s="143"/>
      <c r="H50" s="144"/>
      <c r="J50" s="145"/>
      <c r="K50" s="145"/>
      <c r="L50" s="145"/>
      <c r="M50" s="145"/>
      <c r="N50" s="145"/>
      <c r="O50" s="145"/>
      <c r="P50" s="145"/>
      <c r="Q50" s="143"/>
      <c r="R50" s="143"/>
      <c r="S50" s="143"/>
      <c r="T50" s="143"/>
      <c r="U50" s="143"/>
    </row>
    <row r="51" spans="6:31" s="141" customFormat="1">
      <c r="G51" s="143"/>
      <c r="I51" s="144"/>
      <c r="K51" s="145"/>
      <c r="L51" s="145"/>
      <c r="M51" s="145"/>
      <c r="N51" s="145"/>
      <c r="O51" s="145"/>
      <c r="P51" s="145"/>
      <c r="Q51" s="145"/>
      <c r="R51" s="143"/>
      <c r="S51" s="143"/>
      <c r="T51" s="143"/>
      <c r="U51" s="143"/>
      <c r="V51" s="143"/>
    </row>
    <row r="52" spans="6:31" s="141" customFormat="1">
      <c r="G52" s="143"/>
      <c r="I52" s="144"/>
      <c r="K52" s="145"/>
      <c r="L52" s="145"/>
      <c r="M52" s="145"/>
      <c r="N52" s="145"/>
      <c r="O52" s="145"/>
      <c r="P52" s="145"/>
      <c r="Q52" s="145"/>
      <c r="R52" s="143"/>
      <c r="S52" s="143"/>
      <c r="T52" s="143"/>
      <c r="U52" s="143"/>
      <c r="V52" s="143"/>
    </row>
    <row r="53" spans="6:31" s="141" customFormat="1">
      <c r="G53" s="143"/>
      <c r="I53" s="144"/>
      <c r="K53" s="145"/>
      <c r="L53" s="145"/>
      <c r="M53" s="145"/>
      <c r="N53" s="145"/>
      <c r="O53" s="145"/>
      <c r="P53" s="145"/>
      <c r="Q53" s="145"/>
      <c r="R53" s="143"/>
      <c r="S53" s="143"/>
      <c r="T53" s="143"/>
      <c r="U53" s="143"/>
      <c r="V53" s="143"/>
    </row>
    <row r="54" spans="6:31" s="141" customFormat="1">
      <c r="G54" s="143"/>
      <c r="I54" s="144"/>
      <c r="K54" s="145"/>
      <c r="L54" s="145"/>
      <c r="M54" s="145"/>
      <c r="N54" s="145"/>
      <c r="O54" s="145"/>
      <c r="P54" s="145"/>
      <c r="Q54" s="145"/>
      <c r="R54" s="143"/>
      <c r="S54" s="143"/>
      <c r="T54" s="143"/>
      <c r="U54" s="143"/>
      <c r="V54" s="143"/>
    </row>
    <row r="55" spans="6:31" s="141" customFormat="1">
      <c r="G55" s="143"/>
      <c r="M55" s="144"/>
      <c r="N55" s="144"/>
      <c r="O55" s="144"/>
      <c r="Q55" s="145"/>
      <c r="R55" s="145"/>
      <c r="S55" s="145"/>
      <c r="T55" s="145"/>
      <c r="U55" s="145"/>
      <c r="V55" s="145"/>
      <c r="W55" s="143"/>
      <c r="X55" s="143"/>
      <c r="Y55" s="143"/>
      <c r="Z55" s="143"/>
      <c r="AA55" s="143"/>
      <c r="AB55" s="143"/>
      <c r="AC55" s="143"/>
      <c r="AD55" s="143"/>
      <c r="AE55" s="143"/>
    </row>
    <row r="56" spans="6:31" s="141" customFormat="1">
      <c r="G56" s="143"/>
      <c r="M56" s="144"/>
      <c r="N56" s="144"/>
      <c r="O56" s="144"/>
      <c r="Q56" s="145"/>
      <c r="R56" s="145"/>
      <c r="S56" s="145"/>
      <c r="T56" s="145"/>
      <c r="U56" s="145"/>
      <c r="V56" s="145"/>
      <c r="W56" s="143"/>
      <c r="X56" s="143"/>
      <c r="Y56" s="143"/>
      <c r="Z56" s="143"/>
      <c r="AA56" s="143"/>
      <c r="AB56" s="143"/>
      <c r="AC56" s="143"/>
      <c r="AD56" s="143"/>
      <c r="AE56" s="143"/>
    </row>
    <row r="57" spans="6:31" s="141" customFormat="1">
      <c r="G57" s="143"/>
      <c r="M57" s="144"/>
      <c r="N57" s="144"/>
      <c r="O57" s="144"/>
      <c r="Q57" s="145"/>
      <c r="R57" s="145"/>
      <c r="S57" s="145"/>
      <c r="T57" s="145"/>
      <c r="U57" s="145"/>
      <c r="V57" s="145"/>
      <c r="W57" s="143"/>
      <c r="X57" s="143"/>
      <c r="Y57" s="143"/>
      <c r="Z57" s="143"/>
      <c r="AA57" s="143"/>
      <c r="AB57" s="143"/>
      <c r="AC57" s="143"/>
      <c r="AD57" s="143"/>
      <c r="AE57" s="143"/>
    </row>
    <row r="58" spans="6:31" s="141" customFormat="1">
      <c r="G58" s="143"/>
      <c r="M58" s="144"/>
      <c r="N58" s="144"/>
      <c r="O58" s="144"/>
      <c r="Q58" s="145"/>
      <c r="R58" s="145"/>
      <c r="S58" s="145"/>
      <c r="T58" s="145"/>
      <c r="U58" s="145"/>
      <c r="V58" s="145"/>
      <c r="W58" s="143"/>
      <c r="X58" s="143"/>
      <c r="Y58" s="143"/>
      <c r="Z58" s="143"/>
      <c r="AA58" s="143"/>
      <c r="AB58" s="143"/>
      <c r="AC58" s="143"/>
      <c r="AD58" s="143"/>
      <c r="AE58" s="143"/>
    </row>
    <row r="59" spans="6:31" s="141" customFormat="1">
      <c r="G59" s="143"/>
      <c r="M59" s="144"/>
      <c r="N59" s="144"/>
      <c r="O59" s="144"/>
      <c r="Q59" s="145"/>
      <c r="R59" s="145"/>
      <c r="S59" s="145"/>
      <c r="T59" s="145"/>
      <c r="U59" s="145"/>
      <c r="V59" s="145"/>
      <c r="W59" s="143"/>
      <c r="X59" s="143"/>
      <c r="Y59" s="143"/>
      <c r="Z59" s="143"/>
      <c r="AA59" s="143"/>
      <c r="AB59" s="143"/>
      <c r="AC59" s="143"/>
      <c r="AD59" s="143"/>
      <c r="AE59" s="143"/>
    </row>
    <row r="60" spans="6:31" s="141" customFormat="1">
      <c r="G60" s="143"/>
      <c r="M60" s="144"/>
      <c r="N60" s="144"/>
      <c r="O60" s="144"/>
      <c r="Q60" s="145"/>
      <c r="R60" s="145"/>
      <c r="S60" s="145"/>
      <c r="T60" s="145"/>
      <c r="U60" s="145"/>
      <c r="V60" s="145"/>
      <c r="W60" s="143"/>
      <c r="X60" s="143"/>
      <c r="Y60" s="143"/>
      <c r="Z60" s="143"/>
      <c r="AA60" s="143"/>
      <c r="AB60" s="143"/>
      <c r="AC60" s="143"/>
      <c r="AD60" s="143"/>
      <c r="AE60" s="143"/>
    </row>
    <row r="61" spans="6:31" s="141" customFormat="1">
      <c r="G61" s="143"/>
      <c r="M61" s="144"/>
      <c r="N61" s="144"/>
      <c r="O61" s="144"/>
      <c r="Q61" s="145"/>
      <c r="R61" s="145"/>
      <c r="S61" s="145"/>
      <c r="T61" s="145"/>
      <c r="U61" s="145"/>
      <c r="V61" s="145"/>
      <c r="W61" s="143"/>
      <c r="X61" s="143"/>
      <c r="Y61" s="143"/>
      <c r="Z61" s="143"/>
      <c r="AA61" s="143"/>
      <c r="AB61" s="143"/>
      <c r="AC61" s="143"/>
      <c r="AD61" s="143"/>
      <c r="AE61" s="143"/>
    </row>
    <row r="62" spans="6:31" s="141" customFormat="1">
      <c r="G62" s="143"/>
      <c r="M62" s="144"/>
      <c r="N62" s="144"/>
      <c r="O62" s="144"/>
      <c r="Q62" s="145"/>
      <c r="R62" s="145"/>
      <c r="S62" s="145"/>
      <c r="T62" s="145"/>
      <c r="U62" s="145"/>
      <c r="V62" s="145"/>
      <c r="W62" s="143"/>
      <c r="X62" s="143"/>
      <c r="Y62" s="143"/>
      <c r="Z62" s="143"/>
      <c r="AA62" s="143"/>
      <c r="AB62" s="143"/>
      <c r="AC62" s="143"/>
      <c r="AD62" s="143"/>
      <c r="AE62" s="143"/>
    </row>
    <row r="63" spans="6:31" s="141" customFormat="1">
      <c r="G63" s="143"/>
      <c r="M63" s="144"/>
      <c r="N63" s="144"/>
      <c r="O63" s="144"/>
      <c r="Q63" s="145"/>
      <c r="R63" s="145"/>
      <c r="S63" s="145"/>
      <c r="T63" s="145"/>
      <c r="U63" s="145"/>
      <c r="V63" s="145"/>
      <c r="W63" s="143"/>
      <c r="X63" s="143"/>
      <c r="Y63" s="143"/>
      <c r="Z63" s="143"/>
      <c r="AA63" s="143"/>
      <c r="AB63" s="143"/>
      <c r="AC63" s="143"/>
      <c r="AD63" s="143"/>
      <c r="AE63" s="143"/>
    </row>
    <row r="64" spans="6:31" s="141" customFormat="1">
      <c r="G64" s="143"/>
      <c r="M64" s="144"/>
      <c r="N64" s="144"/>
      <c r="O64" s="144"/>
      <c r="Q64" s="145"/>
      <c r="R64" s="145"/>
      <c r="S64" s="145"/>
      <c r="T64" s="145"/>
      <c r="U64" s="145"/>
      <c r="V64" s="145"/>
      <c r="W64" s="143"/>
      <c r="X64" s="143"/>
      <c r="Y64" s="143"/>
      <c r="Z64" s="143"/>
      <c r="AA64" s="143"/>
      <c r="AB64" s="143"/>
      <c r="AC64" s="143"/>
      <c r="AD64" s="143"/>
      <c r="AE64" s="143"/>
    </row>
    <row r="65" spans="7:31" s="141" customFormat="1">
      <c r="G65" s="143"/>
      <c r="M65" s="144"/>
      <c r="N65" s="144"/>
      <c r="O65" s="144"/>
      <c r="Q65" s="145"/>
      <c r="R65" s="145"/>
      <c r="S65" s="145"/>
      <c r="T65" s="145"/>
      <c r="U65" s="145"/>
      <c r="V65" s="145"/>
      <c r="W65" s="143"/>
      <c r="X65" s="143"/>
      <c r="Y65" s="143"/>
      <c r="Z65" s="143"/>
      <c r="AA65" s="143"/>
      <c r="AB65" s="143"/>
      <c r="AC65" s="143"/>
      <c r="AD65" s="143"/>
      <c r="AE65" s="143"/>
    </row>
    <row r="66" spans="7:31" s="141" customFormat="1">
      <c r="G66" s="143"/>
      <c r="M66" s="144"/>
      <c r="N66" s="144"/>
      <c r="O66" s="144"/>
      <c r="Q66" s="145"/>
      <c r="R66" s="145"/>
      <c r="S66" s="145"/>
      <c r="T66" s="145"/>
      <c r="U66" s="145"/>
      <c r="V66" s="145"/>
      <c r="W66" s="143"/>
      <c r="X66" s="143"/>
      <c r="Y66" s="143"/>
      <c r="Z66" s="143"/>
      <c r="AA66" s="143"/>
      <c r="AB66" s="143"/>
      <c r="AC66" s="143"/>
      <c r="AD66" s="143"/>
      <c r="AE66" s="143"/>
    </row>
    <row r="67" spans="7:31" s="141" customFormat="1">
      <c r="G67" s="143"/>
      <c r="M67" s="144"/>
      <c r="N67" s="144"/>
      <c r="O67" s="144"/>
      <c r="Q67" s="145"/>
      <c r="R67" s="145"/>
      <c r="S67" s="145"/>
      <c r="T67" s="145"/>
      <c r="U67" s="145"/>
      <c r="V67" s="145"/>
      <c r="W67" s="143"/>
      <c r="X67" s="143"/>
      <c r="Y67" s="143"/>
      <c r="Z67" s="143"/>
      <c r="AA67" s="143"/>
      <c r="AB67" s="143"/>
      <c r="AC67" s="143"/>
      <c r="AD67" s="143"/>
      <c r="AE67" s="143"/>
    </row>
    <row r="68" spans="7:31" s="141" customFormat="1">
      <c r="G68" s="143"/>
      <c r="M68" s="144"/>
      <c r="N68" s="144"/>
      <c r="O68" s="144"/>
      <c r="Q68" s="145"/>
      <c r="R68" s="145"/>
      <c r="S68" s="145"/>
      <c r="T68" s="145"/>
      <c r="U68" s="145"/>
      <c r="V68" s="145"/>
      <c r="W68" s="143"/>
      <c r="X68" s="143"/>
      <c r="Y68" s="143"/>
      <c r="Z68" s="143"/>
      <c r="AA68" s="143"/>
      <c r="AB68" s="143"/>
      <c r="AC68" s="143"/>
      <c r="AD68" s="143"/>
      <c r="AE68" s="143"/>
    </row>
    <row r="69" spans="7:31" s="141" customFormat="1">
      <c r="G69" s="143"/>
      <c r="M69" s="144"/>
      <c r="N69" s="144"/>
      <c r="O69" s="144"/>
      <c r="Q69" s="145"/>
      <c r="R69" s="145"/>
      <c r="S69" s="145"/>
      <c r="T69" s="145"/>
      <c r="U69" s="145"/>
      <c r="V69" s="145"/>
      <c r="W69" s="143"/>
      <c r="X69" s="143"/>
      <c r="Y69" s="143"/>
      <c r="Z69" s="143"/>
      <c r="AA69" s="143"/>
      <c r="AB69" s="143"/>
      <c r="AC69" s="143"/>
      <c r="AD69" s="143"/>
      <c r="AE69" s="143"/>
    </row>
    <row r="70" spans="7:31" s="141" customFormat="1">
      <c r="G70" s="143"/>
      <c r="M70" s="144"/>
      <c r="N70" s="144"/>
      <c r="O70" s="144"/>
      <c r="Q70" s="145"/>
      <c r="R70" s="145"/>
      <c r="S70" s="145"/>
      <c r="T70" s="145"/>
      <c r="U70" s="145"/>
      <c r="V70" s="145"/>
      <c r="W70" s="143"/>
      <c r="X70" s="143"/>
      <c r="Y70" s="143"/>
      <c r="Z70" s="143"/>
      <c r="AA70" s="143"/>
      <c r="AB70" s="143"/>
      <c r="AC70" s="143"/>
      <c r="AD70" s="143"/>
      <c r="AE70" s="143"/>
    </row>
    <row r="71" spans="7:31" s="141" customFormat="1">
      <c r="G71" s="143"/>
      <c r="M71" s="144"/>
      <c r="N71" s="144"/>
      <c r="O71" s="144"/>
      <c r="Q71" s="145"/>
      <c r="R71" s="145"/>
      <c r="S71" s="145"/>
      <c r="T71" s="145"/>
      <c r="U71" s="145"/>
      <c r="V71" s="145"/>
      <c r="W71" s="143"/>
      <c r="X71" s="143"/>
      <c r="Y71" s="143"/>
      <c r="Z71" s="143"/>
      <c r="AA71" s="143"/>
      <c r="AB71" s="143"/>
      <c r="AC71" s="143"/>
      <c r="AD71" s="143"/>
      <c r="AE71" s="143"/>
    </row>
    <row r="72" spans="7:31" s="141" customFormat="1">
      <c r="G72" s="143"/>
      <c r="M72" s="144"/>
      <c r="N72" s="144"/>
      <c r="O72" s="144"/>
      <c r="Q72" s="145"/>
      <c r="R72" s="145"/>
      <c r="S72" s="145"/>
      <c r="T72" s="145"/>
      <c r="U72" s="145"/>
      <c r="V72" s="145"/>
      <c r="W72" s="143"/>
      <c r="X72" s="143"/>
      <c r="Y72" s="143"/>
      <c r="Z72" s="143"/>
      <c r="AA72" s="143"/>
      <c r="AB72" s="143"/>
      <c r="AC72" s="143"/>
      <c r="AD72" s="143"/>
      <c r="AE72" s="143"/>
    </row>
    <row r="73" spans="7:31" s="141" customFormat="1">
      <c r="G73" s="143"/>
      <c r="M73" s="144"/>
      <c r="N73" s="144"/>
      <c r="O73" s="144"/>
      <c r="Q73" s="145"/>
      <c r="R73" s="145"/>
      <c r="S73" s="145"/>
      <c r="T73" s="145"/>
      <c r="U73" s="145"/>
      <c r="V73" s="145"/>
      <c r="W73" s="143"/>
      <c r="X73" s="143"/>
      <c r="Y73" s="143"/>
      <c r="Z73" s="143"/>
      <c r="AA73" s="143"/>
      <c r="AB73" s="143"/>
      <c r="AC73" s="143"/>
      <c r="AD73" s="143"/>
      <c r="AE73" s="143"/>
    </row>
    <row r="74" spans="7:31" s="141" customFormat="1">
      <c r="G74" s="143"/>
      <c r="M74" s="144"/>
      <c r="N74" s="144"/>
      <c r="O74" s="144"/>
      <c r="Q74" s="145"/>
      <c r="R74" s="145"/>
      <c r="S74" s="145"/>
      <c r="T74" s="145"/>
      <c r="U74" s="145"/>
      <c r="V74" s="145"/>
      <c r="W74" s="143"/>
      <c r="X74" s="143"/>
      <c r="Y74" s="143"/>
      <c r="Z74" s="143"/>
      <c r="AA74" s="143"/>
      <c r="AB74" s="143"/>
      <c r="AC74" s="143"/>
      <c r="AD74" s="143"/>
      <c r="AE74" s="143"/>
    </row>
    <row r="75" spans="7:31" s="141" customFormat="1">
      <c r="G75" s="143"/>
      <c r="M75" s="144"/>
      <c r="N75" s="144"/>
      <c r="O75" s="144"/>
      <c r="Q75" s="145"/>
      <c r="R75" s="145"/>
      <c r="S75" s="145"/>
      <c r="T75" s="145"/>
      <c r="U75" s="145"/>
      <c r="V75" s="145"/>
      <c r="W75" s="143"/>
      <c r="X75" s="143"/>
      <c r="Y75" s="143"/>
      <c r="Z75" s="143"/>
      <c r="AA75" s="143"/>
      <c r="AB75" s="143"/>
      <c r="AC75" s="143"/>
      <c r="AD75" s="143"/>
      <c r="AE75" s="143"/>
    </row>
    <row r="76" spans="7:31" s="141" customFormat="1">
      <c r="G76" s="143"/>
      <c r="M76" s="144"/>
      <c r="N76" s="144"/>
      <c r="O76" s="144"/>
      <c r="Q76" s="145"/>
      <c r="R76" s="145"/>
      <c r="S76" s="145"/>
      <c r="T76" s="145"/>
      <c r="U76" s="145"/>
      <c r="V76" s="145"/>
      <c r="W76" s="143"/>
      <c r="X76" s="143"/>
      <c r="Y76" s="143"/>
      <c r="Z76" s="143"/>
      <c r="AA76" s="143"/>
      <c r="AB76" s="143"/>
      <c r="AC76" s="143"/>
      <c r="AD76" s="143"/>
      <c r="AE76" s="143"/>
    </row>
    <row r="77" spans="7:31" s="141" customFormat="1">
      <c r="G77" s="143"/>
      <c r="M77" s="144"/>
      <c r="N77" s="144"/>
      <c r="O77" s="144"/>
      <c r="Q77" s="145"/>
      <c r="R77" s="145"/>
      <c r="S77" s="145"/>
      <c r="T77" s="145"/>
      <c r="U77" s="145"/>
      <c r="V77" s="145"/>
      <c r="W77" s="143"/>
      <c r="X77" s="143"/>
      <c r="Y77" s="143"/>
      <c r="Z77" s="143"/>
      <c r="AA77" s="143"/>
      <c r="AB77" s="143"/>
      <c r="AC77" s="143"/>
      <c r="AD77" s="143"/>
      <c r="AE77" s="143"/>
    </row>
    <row r="78" spans="7:31" s="141" customFormat="1">
      <c r="G78" s="143"/>
      <c r="M78" s="144"/>
      <c r="N78" s="144"/>
      <c r="O78" s="144"/>
      <c r="Q78" s="145"/>
      <c r="R78" s="145"/>
      <c r="S78" s="145"/>
      <c r="T78" s="145"/>
      <c r="U78" s="145"/>
      <c r="V78" s="145"/>
      <c r="W78" s="143"/>
      <c r="X78" s="143"/>
      <c r="Y78" s="143"/>
      <c r="Z78" s="143"/>
      <c r="AA78" s="143"/>
      <c r="AB78" s="143"/>
      <c r="AC78" s="143"/>
      <c r="AD78" s="143"/>
      <c r="AE78" s="143"/>
    </row>
    <row r="79" spans="7:31" s="141" customFormat="1">
      <c r="G79" s="143"/>
      <c r="M79" s="144"/>
      <c r="N79" s="144"/>
      <c r="O79" s="144"/>
      <c r="Q79" s="145"/>
      <c r="R79" s="145"/>
      <c r="S79" s="145"/>
      <c r="T79" s="145"/>
      <c r="U79" s="145"/>
      <c r="V79" s="145"/>
      <c r="W79" s="143"/>
      <c r="X79" s="143"/>
      <c r="Y79" s="143"/>
      <c r="Z79" s="143"/>
      <c r="AA79" s="143"/>
      <c r="AB79" s="143"/>
      <c r="AC79" s="143"/>
      <c r="AD79" s="143"/>
      <c r="AE79" s="143"/>
    </row>
    <row r="80" spans="7:31" s="141" customFormat="1">
      <c r="G80" s="143"/>
      <c r="M80" s="144"/>
      <c r="N80" s="144"/>
      <c r="O80" s="144"/>
      <c r="Q80" s="145"/>
      <c r="R80" s="145"/>
      <c r="S80" s="145"/>
      <c r="T80" s="145"/>
      <c r="U80" s="145"/>
      <c r="V80" s="145"/>
      <c r="W80" s="143"/>
      <c r="X80" s="143"/>
      <c r="Y80" s="143"/>
      <c r="Z80" s="143"/>
      <c r="AA80" s="143"/>
      <c r="AB80" s="143"/>
      <c r="AC80" s="143"/>
      <c r="AD80" s="143"/>
      <c r="AE80" s="143"/>
    </row>
    <row r="81" spans="1:31" s="141" customFormat="1">
      <c r="G81" s="143"/>
      <c r="M81" s="144"/>
      <c r="N81" s="144"/>
      <c r="O81" s="144"/>
      <c r="Q81" s="145"/>
      <c r="R81" s="145"/>
      <c r="S81" s="145"/>
      <c r="T81" s="145"/>
      <c r="U81" s="145"/>
      <c r="V81" s="145"/>
      <c r="W81" s="143"/>
      <c r="X81" s="143"/>
      <c r="Y81" s="143"/>
      <c r="Z81" s="143"/>
      <c r="AA81" s="143"/>
      <c r="AB81" s="143"/>
      <c r="AC81" s="143"/>
      <c r="AD81" s="143"/>
      <c r="AE81" s="143"/>
    </row>
    <row r="82" spans="1:31" s="141" customFormat="1">
      <c r="G82" s="143"/>
      <c r="M82" s="144"/>
      <c r="N82" s="144"/>
      <c r="O82" s="144"/>
      <c r="Q82" s="145"/>
      <c r="R82" s="145"/>
      <c r="S82" s="145"/>
      <c r="T82" s="145"/>
      <c r="U82" s="145"/>
      <c r="V82" s="145"/>
      <c r="W82" s="143"/>
      <c r="X82" s="143"/>
      <c r="Y82" s="143"/>
      <c r="Z82" s="143"/>
      <c r="AA82" s="143"/>
      <c r="AB82" s="143"/>
      <c r="AC82" s="143"/>
      <c r="AD82" s="143"/>
      <c r="AE82" s="143"/>
    </row>
    <row r="83" spans="1:31" s="141" customFormat="1" ht="23.25" hidden="1">
      <c r="B83" s="146" t="s">
        <v>259</v>
      </c>
      <c r="G83" s="143"/>
      <c r="M83" s="144"/>
      <c r="N83" s="144"/>
      <c r="O83" s="144"/>
      <c r="Q83" s="145"/>
      <c r="R83" s="145"/>
      <c r="S83" s="145"/>
      <c r="T83" s="145"/>
      <c r="U83" s="145"/>
      <c r="V83" s="145"/>
      <c r="W83" s="143"/>
      <c r="X83" s="143"/>
      <c r="Y83" s="143"/>
      <c r="Z83" s="143"/>
      <c r="AA83" s="143"/>
      <c r="AB83" s="143"/>
      <c r="AC83" s="143"/>
      <c r="AD83" s="143"/>
      <c r="AE83" s="143"/>
    </row>
    <row r="84" spans="1:31" s="141" customFormat="1" hidden="1">
      <c r="G84" s="143"/>
      <c r="M84" s="144"/>
      <c r="N84" s="144"/>
      <c r="O84" s="144"/>
      <c r="Q84" s="145"/>
      <c r="R84" s="145"/>
      <c r="S84" s="145"/>
      <c r="T84" s="145"/>
      <c r="U84" s="145"/>
      <c r="V84" s="145"/>
      <c r="W84" s="143"/>
      <c r="X84" s="143"/>
      <c r="Y84" s="143"/>
      <c r="Z84" s="143"/>
      <c r="AA84" s="143"/>
      <c r="AB84" s="143"/>
      <c r="AC84" s="143"/>
      <c r="AD84" s="143"/>
      <c r="AE84" s="143"/>
    </row>
    <row r="85" spans="1:31" s="147" customFormat="1" ht="51.75" hidden="1" thickBot="1">
      <c r="B85" s="148" t="s">
        <v>251</v>
      </c>
      <c r="C85" s="149" t="s">
        <v>14</v>
      </c>
      <c r="D85" s="149" t="s">
        <v>238</v>
      </c>
      <c r="E85" s="149" t="s">
        <v>210</v>
      </c>
      <c r="F85" s="149" t="s">
        <v>153</v>
      </c>
      <c r="G85" s="149" t="s">
        <v>254</v>
      </c>
      <c r="H85" s="149" t="s">
        <v>239</v>
      </c>
      <c r="I85" s="149" t="s">
        <v>257</v>
      </c>
      <c r="J85" s="149" t="s">
        <v>207</v>
      </c>
      <c r="K85" s="149" t="s">
        <v>209</v>
      </c>
      <c r="L85" s="149" t="s">
        <v>226</v>
      </c>
      <c r="M85" s="149" t="s">
        <v>227</v>
      </c>
      <c r="N85" s="150" t="s">
        <v>2</v>
      </c>
      <c r="O85" s="150" t="s">
        <v>3</v>
      </c>
      <c r="P85" s="150" t="s">
        <v>4</v>
      </c>
      <c r="Q85" s="150" t="s">
        <v>217</v>
      </c>
      <c r="R85" s="150" t="s">
        <v>220</v>
      </c>
      <c r="S85" s="151" t="s">
        <v>0</v>
      </c>
      <c r="T85" s="152"/>
      <c r="U85" s="152"/>
      <c r="V85" s="152"/>
    </row>
    <row r="86" spans="1:31" s="160" customFormat="1" ht="28.35" hidden="1" customHeight="1" thickTop="1" thickBot="1">
      <c r="A86" s="153" t="s">
        <v>251</v>
      </c>
      <c r="B86" s="154" t="e">
        <f>correla!B4*correla!B23*correla!B42</f>
        <v>#REF!</v>
      </c>
      <c r="C86" s="155" t="e">
        <f>correla!C4*correla!C23*correla!C42</f>
        <v>#REF!</v>
      </c>
      <c r="D86" s="156" t="e">
        <f>correla!D4*correla!D23*correla!D42</f>
        <v>#REF!</v>
      </c>
      <c r="E86" s="156" t="e">
        <f>correla!E4*correla!E23*correla!E42</f>
        <v>#REF!</v>
      </c>
      <c r="F86" s="156" t="e">
        <f>correla!F4*correla!F23*correla!F42</f>
        <v>#REF!</v>
      </c>
      <c r="G86" s="156" t="e">
        <f>correla!G4*correla!G23*correla!G42</f>
        <v>#REF!</v>
      </c>
      <c r="H86" s="156" t="e">
        <f>correla!H4*correla!H23*correla!H42</f>
        <v>#REF!</v>
      </c>
      <c r="I86" s="156" t="e">
        <f>correla!I4*correla!I23*correla!I42</f>
        <v>#REF!</v>
      </c>
      <c r="J86" s="156" t="e">
        <f>correla!J4*correla!J23*correla!J42</f>
        <v>#REF!</v>
      </c>
      <c r="K86" s="156" t="e">
        <f>correla!K4*correla!K23*correla!K42</f>
        <v>#REF!</v>
      </c>
      <c r="L86" s="156" t="e">
        <f>correla!L4*correla!L23*correla!L42</f>
        <v>#REF!</v>
      </c>
      <c r="M86" s="156" t="e">
        <f>correla!M4*correla!M23*correla!M42</f>
        <v>#REF!</v>
      </c>
      <c r="N86" s="156" t="e">
        <f>correla!N4*correla!N23*correla!N42</f>
        <v>#REF!</v>
      </c>
      <c r="O86" s="156" t="e">
        <f>correla!O4*correla!O23*correla!O42</f>
        <v>#REF!</v>
      </c>
      <c r="P86" s="156" t="e">
        <f>correla!P4*correla!P23*correla!P42</f>
        <v>#REF!</v>
      </c>
      <c r="Q86" s="156" t="e">
        <f>correla!Q4*correla!Q23*correla!Q42</f>
        <v>#REF!</v>
      </c>
      <c r="R86" s="156" t="e">
        <f>correla!R4*correla!R23*correla!R42</f>
        <v>#REF!</v>
      </c>
      <c r="S86" s="157" t="e">
        <f>correla!S4*correla!S23*correla!S42</f>
        <v>#REF!</v>
      </c>
      <c r="T86" s="158"/>
      <c r="U86" s="158"/>
      <c r="V86" s="158"/>
      <c r="W86" s="159"/>
      <c r="X86" s="159"/>
      <c r="Y86" s="159"/>
      <c r="Z86" s="159"/>
      <c r="AA86" s="159"/>
      <c r="AB86" s="159"/>
      <c r="AC86" s="159"/>
      <c r="AD86" s="159"/>
      <c r="AE86" s="159"/>
    </row>
    <row r="87" spans="1:31" s="160" customFormat="1" ht="28.35" hidden="1" customHeight="1" thickBot="1">
      <c r="A87" s="161" t="s">
        <v>14</v>
      </c>
      <c r="B87" s="162" t="e">
        <f>correla!B5*correla!B24*correla!B43</f>
        <v>#REF!</v>
      </c>
      <c r="C87" s="154" t="e">
        <f>correla!C5*correla!C24*correla!C43</f>
        <v>#REF!</v>
      </c>
      <c r="D87" s="163" t="e">
        <f>correla!D5*correla!D24*correla!D43</f>
        <v>#REF!</v>
      </c>
      <c r="E87" s="164" t="e">
        <f>correla!E5*correla!E24*correla!E43</f>
        <v>#REF!</v>
      </c>
      <c r="F87" s="164" t="e">
        <f>correla!F5*correla!F24*correla!F43</f>
        <v>#REF!</v>
      </c>
      <c r="G87" s="164" t="e">
        <f>correla!G5*correla!G24*correla!G43</f>
        <v>#REF!</v>
      </c>
      <c r="H87" s="164" t="e">
        <f>correla!H5*correla!H24*correla!H43</f>
        <v>#REF!</v>
      </c>
      <c r="I87" s="164" t="e">
        <f>correla!I5*correla!I24*correla!I43</f>
        <v>#REF!</v>
      </c>
      <c r="J87" s="164" t="e">
        <f>correla!J5*correla!J24*correla!J43</f>
        <v>#REF!</v>
      </c>
      <c r="K87" s="164" t="e">
        <f>correla!K5*correla!K24*correla!K43</f>
        <v>#REF!</v>
      </c>
      <c r="L87" s="164" t="e">
        <f>correla!L5*correla!L24*correla!L43</f>
        <v>#REF!</v>
      </c>
      <c r="M87" s="164" t="e">
        <f>correla!M5*correla!M24*correla!M43</f>
        <v>#REF!</v>
      </c>
      <c r="N87" s="164" t="e">
        <f>correla!N5*correla!N24*correla!N43</f>
        <v>#REF!</v>
      </c>
      <c r="O87" s="164" t="e">
        <f>correla!O5*correla!O24*correla!O43</f>
        <v>#REF!</v>
      </c>
      <c r="P87" s="164" t="e">
        <f>correla!P5*correla!P24*correla!P43</f>
        <v>#REF!</v>
      </c>
      <c r="Q87" s="164" t="e">
        <f>correla!Q5*correla!Q24*correla!Q43</f>
        <v>#REF!</v>
      </c>
      <c r="R87" s="164" t="e">
        <f>correla!R5*correla!R24*correla!R43</f>
        <v>#REF!</v>
      </c>
      <c r="S87" s="165" t="e">
        <f>correla!S5*correla!S24*correla!S43</f>
        <v>#REF!</v>
      </c>
      <c r="T87" s="158"/>
      <c r="U87" s="158"/>
      <c r="V87" s="158"/>
      <c r="W87" s="159"/>
      <c r="X87" s="159"/>
      <c r="Y87" s="159"/>
      <c r="Z87" s="159"/>
      <c r="AA87" s="159"/>
      <c r="AB87" s="159"/>
      <c r="AC87" s="159"/>
      <c r="AD87" s="159"/>
      <c r="AE87" s="159"/>
    </row>
    <row r="88" spans="1:31" s="160" customFormat="1" ht="28.35" hidden="1" customHeight="1" thickBot="1">
      <c r="A88" s="161" t="s">
        <v>238</v>
      </c>
      <c r="B88" s="166" t="e">
        <f>correla!B6*correla!B25*correla!B44</f>
        <v>#REF!</v>
      </c>
      <c r="C88" s="167" t="e">
        <f>correla!C6*correla!C25*correla!C44</f>
        <v>#REF!</v>
      </c>
      <c r="D88" s="154" t="e">
        <f>correla!D6*correla!D25*correla!D44</f>
        <v>#REF!</v>
      </c>
      <c r="E88" s="163" t="e">
        <f>correla!E6*correla!E25*correla!E44</f>
        <v>#REF!</v>
      </c>
      <c r="F88" s="164" t="e">
        <f>correla!F6*correla!F25*correla!F44</f>
        <v>#REF!</v>
      </c>
      <c r="G88" s="164" t="e">
        <f>correla!G6*correla!G25*correla!G44</f>
        <v>#REF!</v>
      </c>
      <c r="H88" s="164" t="e">
        <f>correla!H6*correla!H25*correla!H44</f>
        <v>#REF!</v>
      </c>
      <c r="I88" s="164" t="e">
        <f>correla!I6*correla!I25*correla!I44</f>
        <v>#REF!</v>
      </c>
      <c r="J88" s="164" t="e">
        <f>correla!J6*correla!J25*correla!J44</f>
        <v>#REF!</v>
      </c>
      <c r="K88" s="164" t="e">
        <f>correla!K6*correla!K25*correla!K44</f>
        <v>#REF!</v>
      </c>
      <c r="L88" s="164" t="e">
        <f>correla!L6*correla!L25*correla!L44</f>
        <v>#REF!</v>
      </c>
      <c r="M88" s="164" t="e">
        <f>correla!M6*correla!M25*correla!M44</f>
        <v>#REF!</v>
      </c>
      <c r="N88" s="164" t="e">
        <f>correla!N6*correla!N25*correla!N44</f>
        <v>#REF!</v>
      </c>
      <c r="O88" s="164" t="e">
        <f>correla!O6*correla!O25*correla!O44</f>
        <v>#REF!</v>
      </c>
      <c r="P88" s="164" t="e">
        <f>correla!P6*correla!P25*correla!P44</f>
        <v>#REF!</v>
      </c>
      <c r="Q88" s="164" t="e">
        <f>correla!Q6*correla!Q25*correla!Q44</f>
        <v>#REF!</v>
      </c>
      <c r="R88" s="164" t="e">
        <f>correla!R6*correla!R25*correla!R44</f>
        <v>#REF!</v>
      </c>
      <c r="S88" s="165" t="e">
        <f>correla!S6*correla!S25*correla!S44</f>
        <v>#REF!</v>
      </c>
      <c r="T88" s="158"/>
      <c r="U88" s="158"/>
      <c r="V88" s="158"/>
      <c r="W88" s="159"/>
      <c r="X88" s="159"/>
      <c r="Y88" s="159"/>
      <c r="Z88" s="159"/>
      <c r="AA88" s="159"/>
      <c r="AB88" s="159"/>
      <c r="AC88" s="159"/>
      <c r="AD88" s="159"/>
      <c r="AE88" s="159"/>
    </row>
    <row r="89" spans="1:31" s="160" customFormat="1" ht="28.35" hidden="1" customHeight="1" thickBot="1">
      <c r="A89" s="161" t="s">
        <v>210</v>
      </c>
      <c r="B89" s="166" t="e">
        <f>correla!B7*correla!B26*correla!B45</f>
        <v>#REF!</v>
      </c>
      <c r="C89" s="164" t="e">
        <f>correla!C7*correla!C26*correla!C45</f>
        <v>#REF!</v>
      </c>
      <c r="D89" s="167" t="e">
        <f>correla!D7*correla!D26*correla!D45</f>
        <v>#REF!</v>
      </c>
      <c r="E89" s="154" t="e">
        <f>correla!E7*correla!E26*correla!E45</f>
        <v>#REF!</v>
      </c>
      <c r="F89" s="163" t="e">
        <f>correla!F7*correla!F26*correla!F45</f>
        <v>#REF!</v>
      </c>
      <c r="G89" s="164" t="e">
        <f>correla!G7*correla!G26*correla!G45</f>
        <v>#REF!</v>
      </c>
      <c r="H89" s="164" t="e">
        <f>correla!H7*correla!H26*correla!H45</f>
        <v>#REF!</v>
      </c>
      <c r="I89" s="164" t="e">
        <f>correla!I7*correla!I26*correla!I45</f>
        <v>#REF!</v>
      </c>
      <c r="J89" s="164" t="e">
        <f>correla!J7*correla!J26*correla!J45</f>
        <v>#REF!</v>
      </c>
      <c r="K89" s="164" t="e">
        <f>correla!K7*correla!K26*correla!K45</f>
        <v>#REF!</v>
      </c>
      <c r="L89" s="164" t="e">
        <f>correla!L7*correla!L26*correla!L45</f>
        <v>#REF!</v>
      </c>
      <c r="M89" s="164" t="e">
        <f>correla!M7*correla!M26*correla!M45</f>
        <v>#REF!</v>
      </c>
      <c r="N89" s="164" t="e">
        <f>correla!N7*correla!N26*correla!N45</f>
        <v>#REF!</v>
      </c>
      <c r="O89" s="164" t="e">
        <f>correla!O7*correla!O26*correla!O45</f>
        <v>#REF!</v>
      </c>
      <c r="P89" s="164" t="e">
        <f>correla!P7*correla!P26*correla!P45</f>
        <v>#REF!</v>
      </c>
      <c r="Q89" s="164" t="e">
        <f>correla!Q7*correla!Q26*correla!Q45</f>
        <v>#REF!</v>
      </c>
      <c r="R89" s="164" t="e">
        <f>correla!R7*correla!R26*correla!R45</f>
        <v>#REF!</v>
      </c>
      <c r="S89" s="165" t="e">
        <f>correla!S7*correla!S26*correla!S45</f>
        <v>#REF!</v>
      </c>
      <c r="T89" s="158"/>
      <c r="U89" s="158"/>
      <c r="V89" s="158"/>
      <c r="W89" s="159"/>
      <c r="X89" s="159"/>
      <c r="Y89" s="159"/>
      <c r="Z89" s="159"/>
      <c r="AA89" s="159"/>
      <c r="AB89" s="159"/>
      <c r="AC89" s="159"/>
      <c r="AD89" s="159"/>
      <c r="AE89" s="159"/>
    </row>
    <row r="90" spans="1:31" s="160" customFormat="1" ht="28.35" hidden="1" customHeight="1" thickBot="1">
      <c r="A90" s="161" t="s">
        <v>153</v>
      </c>
      <c r="B90" s="166" t="e">
        <f>correla!B8*correla!B27*correla!B46</f>
        <v>#REF!</v>
      </c>
      <c r="C90" s="164" t="e">
        <f>correla!C8*correla!C27*correla!C46</f>
        <v>#REF!</v>
      </c>
      <c r="D90" s="164" t="e">
        <f>correla!D8*correla!D27*correla!D46</f>
        <v>#REF!</v>
      </c>
      <c r="E90" s="167" t="e">
        <f>correla!E8*correla!E27*correla!E46</f>
        <v>#REF!</v>
      </c>
      <c r="F90" s="154" t="e">
        <f>correla!F8*correla!F27*correla!F46</f>
        <v>#REF!</v>
      </c>
      <c r="G90" s="163" t="e">
        <f>correla!G8*correla!G27*correla!G46</f>
        <v>#REF!</v>
      </c>
      <c r="H90" s="164" t="e">
        <f>correla!H8*correla!H27*correla!H46</f>
        <v>#REF!</v>
      </c>
      <c r="I90" s="164" t="e">
        <f>correla!I8*correla!I27*correla!I46</f>
        <v>#REF!</v>
      </c>
      <c r="J90" s="164" t="e">
        <f>correla!J8*correla!J27*correla!J46</f>
        <v>#REF!</v>
      </c>
      <c r="K90" s="164" t="e">
        <f>correla!K8*correla!K27*correla!K46</f>
        <v>#REF!</v>
      </c>
      <c r="L90" s="164" t="e">
        <f>correla!L8*correla!L27*correla!L46</f>
        <v>#REF!</v>
      </c>
      <c r="M90" s="164" t="e">
        <f>correla!M8*correla!M27*correla!M46</f>
        <v>#REF!</v>
      </c>
      <c r="N90" s="164" t="e">
        <f>correla!N8*correla!N27*correla!N46</f>
        <v>#REF!</v>
      </c>
      <c r="O90" s="164" t="e">
        <f>correla!O8*correla!O27*correla!O46</f>
        <v>#REF!</v>
      </c>
      <c r="P90" s="164" t="e">
        <f>correla!P8*correla!P27*correla!P46</f>
        <v>#REF!</v>
      </c>
      <c r="Q90" s="164" t="e">
        <f>correla!Q8*correla!Q27*correla!Q46</f>
        <v>#REF!</v>
      </c>
      <c r="R90" s="164" t="e">
        <f>correla!R8*correla!R27*correla!R46</f>
        <v>#REF!</v>
      </c>
      <c r="S90" s="165" t="e">
        <f>correla!S8*correla!S27*correla!S46</f>
        <v>#REF!</v>
      </c>
      <c r="T90" s="158"/>
      <c r="U90" s="158"/>
      <c r="V90" s="158"/>
      <c r="W90" s="159"/>
      <c r="X90" s="159"/>
      <c r="Y90" s="159"/>
      <c r="Z90" s="159"/>
      <c r="AA90" s="159"/>
      <c r="AB90" s="159"/>
      <c r="AC90" s="159"/>
      <c r="AD90" s="159"/>
      <c r="AE90" s="159"/>
    </row>
    <row r="91" spans="1:31" s="160" customFormat="1" ht="28.35" hidden="1" customHeight="1" thickBot="1">
      <c r="A91" s="161" t="s">
        <v>254</v>
      </c>
      <c r="B91" s="166" t="e">
        <f>correla!B9*correla!B28*correla!B47</f>
        <v>#REF!</v>
      </c>
      <c r="C91" s="164" t="e">
        <f>correla!C9*correla!C28*correla!C47</f>
        <v>#REF!</v>
      </c>
      <c r="D91" s="164" t="e">
        <f>correla!D9*correla!D28*correla!D47</f>
        <v>#REF!</v>
      </c>
      <c r="E91" s="164" t="e">
        <f>correla!E9*correla!E28*correla!E47</f>
        <v>#REF!</v>
      </c>
      <c r="F91" s="167" t="e">
        <f>correla!F9*correla!F28*correla!F47</f>
        <v>#REF!</v>
      </c>
      <c r="G91" s="154" t="e">
        <f>correla!G9*correla!G28*correla!G47</f>
        <v>#REF!</v>
      </c>
      <c r="H91" s="163" t="e">
        <f>correla!H9*correla!H28*correla!H47</f>
        <v>#REF!</v>
      </c>
      <c r="I91" s="164" t="e">
        <f>correla!I9*correla!I28*correla!I47</f>
        <v>#REF!</v>
      </c>
      <c r="J91" s="164" t="e">
        <f>correla!J9*correla!J28*correla!J47</f>
        <v>#REF!</v>
      </c>
      <c r="K91" s="164" t="e">
        <f>correla!K9*correla!K28*correla!K47</f>
        <v>#REF!</v>
      </c>
      <c r="L91" s="164" t="e">
        <f>correla!L9*correla!L28*correla!L47</f>
        <v>#REF!</v>
      </c>
      <c r="M91" s="164" t="e">
        <f>correla!M9*correla!M28*correla!M47</f>
        <v>#REF!</v>
      </c>
      <c r="N91" s="164" t="e">
        <f>correla!N9*correla!N28*correla!N47</f>
        <v>#REF!</v>
      </c>
      <c r="O91" s="164" t="e">
        <f>correla!O9*correla!O28*correla!O47</f>
        <v>#REF!</v>
      </c>
      <c r="P91" s="164" t="e">
        <f>correla!P9*correla!P28*correla!P47</f>
        <v>#REF!</v>
      </c>
      <c r="Q91" s="164" t="e">
        <f>correla!Q9*correla!Q28*correla!Q47</f>
        <v>#REF!</v>
      </c>
      <c r="R91" s="164" t="e">
        <f>correla!R9*correla!R28*correla!R47</f>
        <v>#REF!</v>
      </c>
      <c r="S91" s="165" t="e">
        <f>correla!S9*correla!S28*correla!S47</f>
        <v>#REF!</v>
      </c>
      <c r="T91" s="158"/>
      <c r="U91" s="158"/>
      <c r="V91" s="158"/>
      <c r="W91" s="159"/>
      <c r="X91" s="159"/>
      <c r="Y91" s="159"/>
      <c r="Z91" s="159"/>
      <c r="AA91" s="159"/>
      <c r="AB91" s="159"/>
      <c r="AC91" s="159"/>
      <c r="AD91" s="159"/>
      <c r="AE91" s="159"/>
    </row>
    <row r="92" spans="1:31" s="160" customFormat="1" ht="28.35" hidden="1" customHeight="1" thickBot="1">
      <c r="A92" s="161" t="s">
        <v>239</v>
      </c>
      <c r="B92" s="166" t="e">
        <f>correla!B10*correla!B29*correla!B48</f>
        <v>#REF!</v>
      </c>
      <c r="C92" s="164" t="e">
        <f>correla!C10*correla!C29*correla!C48</f>
        <v>#REF!</v>
      </c>
      <c r="D92" s="164" t="e">
        <f>correla!D10*correla!D29*correla!D48</f>
        <v>#REF!</v>
      </c>
      <c r="E92" s="164" t="e">
        <f>correla!E10*correla!E29*correla!E48</f>
        <v>#REF!</v>
      </c>
      <c r="F92" s="164" t="e">
        <f>correla!F10*correla!F29*correla!F48</f>
        <v>#REF!</v>
      </c>
      <c r="G92" s="167" t="e">
        <f>correla!G10*correla!G29*correla!G48</f>
        <v>#REF!</v>
      </c>
      <c r="H92" s="154" t="e">
        <f>correla!H10*correla!H29*correla!H48</f>
        <v>#REF!</v>
      </c>
      <c r="I92" s="163" t="e">
        <f>correla!I10*correla!I29*correla!I48</f>
        <v>#REF!</v>
      </c>
      <c r="J92" s="164" t="e">
        <f>correla!J10*correla!J29*correla!J48</f>
        <v>#REF!</v>
      </c>
      <c r="K92" s="164" t="e">
        <f>correla!K10*correla!K29*correla!K48</f>
        <v>#REF!</v>
      </c>
      <c r="L92" s="164" t="e">
        <f>correla!L10*correla!L29*correla!L48</f>
        <v>#REF!</v>
      </c>
      <c r="M92" s="164" t="e">
        <f>correla!M10*correla!M29*correla!M48</f>
        <v>#REF!</v>
      </c>
      <c r="N92" s="164" t="e">
        <f>correla!N10*correla!N29*correla!N48</f>
        <v>#REF!</v>
      </c>
      <c r="O92" s="164" t="e">
        <f>correla!O10*correla!O29*correla!O48</f>
        <v>#REF!</v>
      </c>
      <c r="P92" s="164" t="e">
        <f>correla!P10*correla!P29*correla!P48</f>
        <v>#REF!</v>
      </c>
      <c r="Q92" s="164" t="e">
        <f>correla!Q10*correla!Q29*correla!Q48</f>
        <v>#REF!</v>
      </c>
      <c r="R92" s="164" t="e">
        <f>correla!R10*correla!R29*correla!R48</f>
        <v>#REF!</v>
      </c>
      <c r="S92" s="165" t="e">
        <f>correla!S10*correla!S29*correla!S48</f>
        <v>#REF!</v>
      </c>
      <c r="T92" s="158"/>
      <c r="U92" s="158"/>
      <c r="V92" s="158"/>
      <c r="W92" s="159"/>
      <c r="X92" s="159"/>
      <c r="Y92" s="159"/>
      <c r="Z92" s="159"/>
      <c r="AA92" s="159"/>
      <c r="AB92" s="159"/>
      <c r="AC92" s="159"/>
      <c r="AD92" s="159"/>
      <c r="AE92" s="159"/>
    </row>
    <row r="93" spans="1:31" s="160" customFormat="1" ht="28.35" hidden="1" customHeight="1" thickBot="1">
      <c r="A93" s="161" t="s">
        <v>257</v>
      </c>
      <c r="B93" s="166" t="e">
        <f>correla!B11*correla!B30*correla!B49</f>
        <v>#REF!</v>
      </c>
      <c r="C93" s="164" t="e">
        <f>correla!C11*correla!C30*correla!C49</f>
        <v>#REF!</v>
      </c>
      <c r="D93" s="164" t="e">
        <f>correla!D11*correla!D30*correla!D49</f>
        <v>#REF!</v>
      </c>
      <c r="E93" s="164" t="e">
        <f>correla!E11*correla!E30*correla!E49</f>
        <v>#REF!</v>
      </c>
      <c r="F93" s="164" t="e">
        <f>correla!F11*correla!F30*correla!F49</f>
        <v>#REF!</v>
      </c>
      <c r="G93" s="164" t="e">
        <f>correla!G11*correla!G30*correla!G49</f>
        <v>#REF!</v>
      </c>
      <c r="H93" s="167" t="e">
        <f>correla!H11*correla!H30*correla!H49</f>
        <v>#REF!</v>
      </c>
      <c r="I93" s="154" t="e">
        <f>correla!I11*correla!I30*correla!I49</f>
        <v>#REF!</v>
      </c>
      <c r="J93" s="163" t="e">
        <f>correla!J11*correla!J30*correla!J49</f>
        <v>#REF!</v>
      </c>
      <c r="K93" s="164" t="e">
        <f>correla!K11*correla!K30*correla!K49</f>
        <v>#REF!</v>
      </c>
      <c r="L93" s="164" t="e">
        <f>correla!L11*correla!L30*correla!L49</f>
        <v>#REF!</v>
      </c>
      <c r="M93" s="164" t="e">
        <f>correla!M11*correla!M30*correla!M49</f>
        <v>#REF!</v>
      </c>
      <c r="N93" s="164" t="e">
        <f>correla!N11*correla!N30*correla!N49</f>
        <v>#REF!</v>
      </c>
      <c r="O93" s="164" t="e">
        <f>correla!O11*correla!O30*correla!O49</f>
        <v>#REF!</v>
      </c>
      <c r="P93" s="164" t="e">
        <f>correla!P11*correla!P30*correla!P49</f>
        <v>#REF!</v>
      </c>
      <c r="Q93" s="164" t="e">
        <f>correla!Q11*correla!Q30*correla!Q49</f>
        <v>#REF!</v>
      </c>
      <c r="R93" s="164" t="e">
        <f>correla!R11*correla!R30*correla!R49</f>
        <v>#REF!</v>
      </c>
      <c r="S93" s="165" t="e">
        <f>correla!S11*correla!S30*correla!S49</f>
        <v>#REF!</v>
      </c>
      <c r="T93" s="158"/>
      <c r="U93" s="158"/>
      <c r="V93" s="158"/>
      <c r="W93" s="159"/>
      <c r="X93" s="159"/>
      <c r="Y93" s="159"/>
      <c r="Z93" s="159"/>
      <c r="AA93" s="159"/>
      <c r="AB93" s="159"/>
      <c r="AC93" s="159"/>
      <c r="AD93" s="159"/>
      <c r="AE93" s="159"/>
    </row>
    <row r="94" spans="1:31" s="160" customFormat="1" ht="28.35" hidden="1" customHeight="1" thickBot="1">
      <c r="A94" s="161" t="s">
        <v>207</v>
      </c>
      <c r="B94" s="166" t="e">
        <f>correla!B12*correla!B31*correla!B50</f>
        <v>#REF!</v>
      </c>
      <c r="C94" s="164" t="e">
        <f>correla!C12*correla!C31*correla!C50</f>
        <v>#REF!</v>
      </c>
      <c r="D94" s="164" t="e">
        <f>correla!D12*correla!D31*correla!D50</f>
        <v>#REF!</v>
      </c>
      <c r="E94" s="164" t="e">
        <f>correla!E12*correla!E31*correla!E50</f>
        <v>#REF!</v>
      </c>
      <c r="F94" s="164" t="e">
        <f>correla!F12*correla!F31*correla!F50</f>
        <v>#REF!</v>
      </c>
      <c r="G94" s="164" t="e">
        <f>correla!G12*correla!G31*correla!G50</f>
        <v>#REF!</v>
      </c>
      <c r="H94" s="164" t="e">
        <f>correla!H12*correla!H31*correla!H50</f>
        <v>#REF!</v>
      </c>
      <c r="I94" s="167" t="e">
        <f>correla!I12*correla!I31*correla!I50</f>
        <v>#REF!</v>
      </c>
      <c r="J94" s="154" t="e">
        <f>correla!J12*correla!J31*correla!J50</f>
        <v>#REF!</v>
      </c>
      <c r="K94" s="163" t="e">
        <f>correla!K12*correla!K31*correla!K50</f>
        <v>#REF!</v>
      </c>
      <c r="L94" s="164" t="e">
        <f>correla!L12*correla!L31*correla!L50</f>
        <v>#REF!</v>
      </c>
      <c r="M94" s="164" t="e">
        <f>correla!M12*correla!M31*correla!M50</f>
        <v>#REF!</v>
      </c>
      <c r="N94" s="164" t="e">
        <f>correla!N12*correla!N31*correla!N50</f>
        <v>#REF!</v>
      </c>
      <c r="O94" s="164" t="e">
        <f>correla!O12*correla!O31*correla!O50</f>
        <v>#REF!</v>
      </c>
      <c r="P94" s="164" t="e">
        <f>correla!P12*correla!P31*correla!P50</f>
        <v>#REF!</v>
      </c>
      <c r="Q94" s="164" t="e">
        <f>correla!Q12*correla!Q31*correla!Q50</f>
        <v>#REF!</v>
      </c>
      <c r="R94" s="164" t="e">
        <f>correla!R12*correla!R31*correla!R50</f>
        <v>#REF!</v>
      </c>
      <c r="S94" s="165" t="e">
        <f>correla!S12*correla!S31*correla!S50</f>
        <v>#REF!</v>
      </c>
      <c r="T94" s="158"/>
      <c r="U94" s="158"/>
      <c r="V94" s="158"/>
      <c r="W94" s="159"/>
      <c r="X94" s="159"/>
      <c r="Y94" s="159"/>
      <c r="Z94" s="159"/>
      <c r="AA94" s="159"/>
      <c r="AB94" s="159"/>
      <c r="AC94" s="159"/>
      <c r="AD94" s="159"/>
      <c r="AE94" s="159"/>
    </row>
    <row r="95" spans="1:31" s="160" customFormat="1" ht="28.35" hidden="1" customHeight="1" thickBot="1">
      <c r="A95" s="161" t="s">
        <v>209</v>
      </c>
      <c r="B95" s="166" t="e">
        <f>correla!B13*correla!B32*correla!B51</f>
        <v>#REF!</v>
      </c>
      <c r="C95" s="164" t="e">
        <f>correla!C13*correla!C32*correla!C51</f>
        <v>#REF!</v>
      </c>
      <c r="D95" s="164" t="e">
        <f>correla!D13*correla!D32*correla!D51</f>
        <v>#REF!</v>
      </c>
      <c r="E95" s="164" t="e">
        <f>correla!E13*correla!E32*correla!E51</f>
        <v>#REF!</v>
      </c>
      <c r="F95" s="164" t="e">
        <f>correla!F13*correla!F32*correla!F51</f>
        <v>#REF!</v>
      </c>
      <c r="G95" s="164" t="e">
        <f>correla!G13*correla!G32*correla!G51</f>
        <v>#REF!</v>
      </c>
      <c r="H95" s="164" t="e">
        <f>correla!H13*correla!H32*correla!H51</f>
        <v>#REF!</v>
      </c>
      <c r="I95" s="164" t="e">
        <f>correla!I13*correla!I32*correla!I51</f>
        <v>#REF!</v>
      </c>
      <c r="J95" s="167" t="e">
        <f>correla!J13*correla!J32*correla!J51</f>
        <v>#REF!</v>
      </c>
      <c r="K95" s="154" t="e">
        <f>correla!K13*correla!K32*correla!K51</f>
        <v>#REF!</v>
      </c>
      <c r="L95" s="163" t="e">
        <f>correla!L13*correla!L32*correla!L51</f>
        <v>#REF!</v>
      </c>
      <c r="M95" s="164" t="e">
        <f>correla!M13*correla!M32*correla!M51</f>
        <v>#REF!</v>
      </c>
      <c r="N95" s="164" t="e">
        <f>correla!N13*correla!N32*correla!N51</f>
        <v>#REF!</v>
      </c>
      <c r="O95" s="164" t="e">
        <f>correla!O13*correla!O32*correla!O51</f>
        <v>#REF!</v>
      </c>
      <c r="P95" s="164" t="e">
        <f>correla!P13*correla!P32*correla!P51</f>
        <v>#REF!</v>
      </c>
      <c r="Q95" s="164" t="e">
        <f>correla!Q13*correla!Q32*correla!Q51</f>
        <v>#REF!</v>
      </c>
      <c r="R95" s="164" t="e">
        <f>correla!R13*correla!R32*correla!R51</f>
        <v>#REF!</v>
      </c>
      <c r="S95" s="165" t="e">
        <f>correla!S13*correla!S32*correla!S51</f>
        <v>#REF!</v>
      </c>
      <c r="T95" s="158"/>
      <c r="U95" s="158"/>
      <c r="V95" s="158"/>
      <c r="W95" s="159"/>
      <c r="X95" s="159"/>
      <c r="Y95" s="159"/>
      <c r="Z95" s="159"/>
      <c r="AA95" s="159"/>
      <c r="AB95" s="159"/>
      <c r="AC95" s="159"/>
      <c r="AD95" s="159"/>
      <c r="AE95" s="159"/>
    </row>
    <row r="96" spans="1:31" s="160" customFormat="1" ht="28.35" hidden="1" customHeight="1" thickBot="1">
      <c r="A96" s="161" t="s">
        <v>226</v>
      </c>
      <c r="B96" s="166" t="e">
        <f>correla!B14*correla!B33*correla!B52</f>
        <v>#REF!</v>
      </c>
      <c r="C96" s="164" t="e">
        <f>correla!C14*correla!C33*correla!C52</f>
        <v>#REF!</v>
      </c>
      <c r="D96" s="164" t="e">
        <f>correla!D14*correla!D33*correla!D52</f>
        <v>#REF!</v>
      </c>
      <c r="E96" s="164" t="e">
        <f>correla!E14*correla!E33*correla!E52</f>
        <v>#REF!</v>
      </c>
      <c r="F96" s="164" t="e">
        <f>correla!F14*correla!F33*correla!F52</f>
        <v>#REF!</v>
      </c>
      <c r="G96" s="164" t="e">
        <f>correla!G14*correla!G33*correla!G52</f>
        <v>#REF!</v>
      </c>
      <c r="H96" s="164" t="e">
        <f>correla!H14*correla!H33*correla!H52</f>
        <v>#REF!</v>
      </c>
      <c r="I96" s="164" t="e">
        <f>correla!I14*correla!I33*correla!I52</f>
        <v>#REF!</v>
      </c>
      <c r="J96" s="164" t="e">
        <f>correla!J14*correla!J33*correla!J52</f>
        <v>#REF!</v>
      </c>
      <c r="K96" s="167" t="e">
        <f>correla!K14*correla!K33*correla!K52</f>
        <v>#REF!</v>
      </c>
      <c r="L96" s="154" t="e">
        <f>correla!L14*correla!L33*correla!L52</f>
        <v>#REF!</v>
      </c>
      <c r="M96" s="163" t="e">
        <f>correla!M14*correla!M33*correla!M52</f>
        <v>#REF!</v>
      </c>
      <c r="N96" s="164" t="e">
        <f>correla!N14*correla!N33*correla!N52</f>
        <v>#REF!</v>
      </c>
      <c r="O96" s="164" t="e">
        <f>correla!O14*correla!O33*correla!O52</f>
        <v>#REF!</v>
      </c>
      <c r="P96" s="164" t="e">
        <f>correla!P14*correla!P33*correla!P52</f>
        <v>#REF!</v>
      </c>
      <c r="Q96" s="164" t="e">
        <f>correla!Q14*correla!Q33*correla!Q52</f>
        <v>#REF!</v>
      </c>
      <c r="R96" s="164" t="e">
        <f>correla!R14*correla!R33*correla!R52</f>
        <v>#REF!</v>
      </c>
      <c r="S96" s="165" t="e">
        <f>correla!S14*correla!S33*correla!S52</f>
        <v>#REF!</v>
      </c>
      <c r="T96" s="158"/>
      <c r="U96" s="158"/>
      <c r="V96" s="158"/>
      <c r="W96" s="159"/>
      <c r="X96" s="159"/>
      <c r="Y96" s="159"/>
      <c r="Z96" s="159"/>
      <c r="AA96" s="159"/>
      <c r="AB96" s="159"/>
      <c r="AC96" s="159"/>
      <c r="AD96" s="159"/>
      <c r="AE96" s="159"/>
    </row>
    <row r="97" spans="1:31" s="160" customFormat="1" ht="28.35" hidden="1" customHeight="1" thickBot="1">
      <c r="A97" s="161" t="s">
        <v>227</v>
      </c>
      <c r="B97" s="166" t="e">
        <f>correla!B15*correla!B34*correla!B53</f>
        <v>#REF!</v>
      </c>
      <c r="C97" s="164" t="e">
        <f>correla!C15*correla!C34*correla!C53</f>
        <v>#REF!</v>
      </c>
      <c r="D97" s="164" t="e">
        <f>correla!D15*correla!D34*correla!D53</f>
        <v>#REF!</v>
      </c>
      <c r="E97" s="164" t="e">
        <f>correla!E15*correla!E34*correla!E53</f>
        <v>#REF!</v>
      </c>
      <c r="F97" s="164" t="e">
        <f>correla!F15*correla!F34*correla!F53</f>
        <v>#REF!</v>
      </c>
      <c r="G97" s="164" t="e">
        <f>correla!G15*correla!G34*correla!G53</f>
        <v>#REF!</v>
      </c>
      <c r="H97" s="164" t="e">
        <f>correla!H15*correla!H34*correla!H53</f>
        <v>#REF!</v>
      </c>
      <c r="I97" s="164" t="e">
        <f>correla!I15*correla!I34*correla!I53</f>
        <v>#REF!</v>
      </c>
      <c r="J97" s="164" t="e">
        <f>correla!J15*correla!J34*correla!J53</f>
        <v>#REF!</v>
      </c>
      <c r="K97" s="164" t="e">
        <f>correla!K15*correla!K34*correla!K53</f>
        <v>#REF!</v>
      </c>
      <c r="L97" s="167" t="e">
        <f>correla!L15*correla!L34*correla!L53</f>
        <v>#REF!</v>
      </c>
      <c r="M97" s="154" t="e">
        <f>correla!M15*correla!M34*correla!M53</f>
        <v>#REF!</v>
      </c>
      <c r="N97" s="163" t="e">
        <f>correla!N15*correla!N34*correla!N53</f>
        <v>#REF!</v>
      </c>
      <c r="O97" s="164" t="e">
        <f>correla!O15*correla!O34*correla!O53</f>
        <v>#REF!</v>
      </c>
      <c r="P97" s="164" t="e">
        <f>correla!P15*correla!P34*correla!P53</f>
        <v>#REF!</v>
      </c>
      <c r="Q97" s="164" t="e">
        <f>correla!Q15*correla!Q34*correla!Q53</f>
        <v>#REF!</v>
      </c>
      <c r="R97" s="164" t="e">
        <f>correla!R15*correla!R34*correla!R53</f>
        <v>#REF!</v>
      </c>
      <c r="S97" s="165" t="e">
        <f>correla!S15*correla!S34*correla!S53</f>
        <v>#REF!</v>
      </c>
      <c r="T97" s="158"/>
      <c r="U97" s="158"/>
      <c r="V97" s="158"/>
      <c r="W97" s="159"/>
      <c r="X97" s="159"/>
      <c r="Y97" s="159"/>
      <c r="Z97" s="159"/>
      <c r="AA97" s="159"/>
      <c r="AB97" s="159"/>
      <c r="AC97" s="159"/>
      <c r="AD97" s="159"/>
      <c r="AE97" s="159"/>
    </row>
    <row r="98" spans="1:31" s="160" customFormat="1" ht="28.35" hidden="1" customHeight="1" thickBot="1">
      <c r="A98" s="168" t="s">
        <v>2</v>
      </c>
      <c r="B98" s="166" t="e">
        <f>correla!B16*correla!B35*correla!B54</f>
        <v>#REF!</v>
      </c>
      <c r="C98" s="164" t="e">
        <f>correla!C16*correla!C35*correla!C54</f>
        <v>#REF!</v>
      </c>
      <c r="D98" s="164" t="e">
        <f>correla!D16*correla!D35*correla!D54</f>
        <v>#REF!</v>
      </c>
      <c r="E98" s="164" t="e">
        <f>correla!E16*correla!E35*correla!E54</f>
        <v>#REF!</v>
      </c>
      <c r="F98" s="164" t="e">
        <f>correla!F16*correla!F35*correla!F54</f>
        <v>#REF!</v>
      </c>
      <c r="G98" s="164" t="e">
        <f>correla!G16*correla!G35*correla!G54</f>
        <v>#REF!</v>
      </c>
      <c r="H98" s="164" t="e">
        <f>correla!H16*correla!H35*correla!H54</f>
        <v>#REF!</v>
      </c>
      <c r="I98" s="164" t="e">
        <f>correla!I16*correla!I35*correla!I54</f>
        <v>#REF!</v>
      </c>
      <c r="J98" s="164" t="e">
        <f>correla!J16*correla!J35*correla!J54</f>
        <v>#REF!</v>
      </c>
      <c r="K98" s="164" t="e">
        <f>correla!K16*correla!K35*correla!K54</f>
        <v>#REF!</v>
      </c>
      <c r="L98" s="164" t="e">
        <f>correla!L16*correla!L35*correla!L54</f>
        <v>#REF!</v>
      </c>
      <c r="M98" s="167" t="e">
        <f>correla!M16*correla!M35*correla!M54</f>
        <v>#REF!</v>
      </c>
      <c r="N98" s="154" t="e">
        <f>correla!N16*correla!N35*correla!N54</f>
        <v>#REF!</v>
      </c>
      <c r="O98" s="163" t="e">
        <f>correla!O16*correla!O35*correla!O54</f>
        <v>#REF!</v>
      </c>
      <c r="P98" s="164" t="e">
        <f>correla!P16*correla!P35*correla!P54</f>
        <v>#REF!</v>
      </c>
      <c r="Q98" s="164" t="e">
        <f>correla!Q16*correla!Q35*correla!Q54</f>
        <v>#REF!</v>
      </c>
      <c r="R98" s="164" t="e">
        <f>correla!R16*correla!R35*correla!R54</f>
        <v>#REF!</v>
      </c>
      <c r="S98" s="165" t="e">
        <f>correla!S16*correla!S35*correla!S54</f>
        <v>#REF!</v>
      </c>
      <c r="T98" s="158"/>
      <c r="U98" s="158"/>
      <c r="V98" s="158"/>
      <c r="W98" s="159"/>
      <c r="X98" s="159"/>
      <c r="Y98" s="159"/>
      <c r="Z98" s="159"/>
      <c r="AA98" s="159"/>
      <c r="AB98" s="159"/>
      <c r="AC98" s="159"/>
      <c r="AD98" s="159"/>
      <c r="AE98" s="159"/>
    </row>
    <row r="99" spans="1:31" s="160" customFormat="1" ht="28.35" hidden="1" customHeight="1" thickBot="1">
      <c r="A99" s="168" t="s">
        <v>3</v>
      </c>
      <c r="B99" s="166" t="e">
        <f>correla!B17*correla!B36*correla!B55</f>
        <v>#REF!</v>
      </c>
      <c r="C99" s="164" t="e">
        <f>correla!C17*correla!C36*correla!C55</f>
        <v>#REF!</v>
      </c>
      <c r="D99" s="164" t="e">
        <f>correla!D17*correla!D36*correla!D55</f>
        <v>#REF!</v>
      </c>
      <c r="E99" s="164" t="e">
        <f>correla!E17*correla!E36*correla!E55</f>
        <v>#REF!</v>
      </c>
      <c r="F99" s="164" t="e">
        <f>correla!F17*correla!F36*correla!F55</f>
        <v>#REF!</v>
      </c>
      <c r="G99" s="164" t="e">
        <f>correla!G17*correla!G36*correla!G55</f>
        <v>#REF!</v>
      </c>
      <c r="H99" s="164" t="e">
        <f>correla!H17*correla!H36*correla!H55</f>
        <v>#REF!</v>
      </c>
      <c r="I99" s="164" t="e">
        <f>correla!I17*correla!I36*correla!I55</f>
        <v>#REF!</v>
      </c>
      <c r="J99" s="164" t="e">
        <f>correla!J17*correla!J36*correla!J55</f>
        <v>#REF!</v>
      </c>
      <c r="K99" s="164" t="e">
        <f>correla!K17*correla!K36*correla!K55</f>
        <v>#REF!</v>
      </c>
      <c r="L99" s="164" t="e">
        <f>correla!L17*correla!L36*correla!L55</f>
        <v>#REF!</v>
      </c>
      <c r="M99" s="164" t="e">
        <f>correla!M17*correla!M36*correla!M55</f>
        <v>#REF!</v>
      </c>
      <c r="N99" s="167" t="e">
        <f>correla!N17*correla!N36*correla!N55</f>
        <v>#REF!</v>
      </c>
      <c r="O99" s="154" t="e">
        <f>correla!O17*correla!O36*correla!O55</f>
        <v>#REF!</v>
      </c>
      <c r="P99" s="163" t="e">
        <f>correla!P17*correla!P36*correla!P55</f>
        <v>#REF!</v>
      </c>
      <c r="Q99" s="164" t="e">
        <f>correla!Q17*correla!Q36*correla!Q55</f>
        <v>#REF!</v>
      </c>
      <c r="R99" s="164" t="e">
        <f>correla!R17*correla!R36*correla!R55</f>
        <v>#REF!</v>
      </c>
      <c r="S99" s="165" t="e">
        <f>correla!S17*correla!S36*correla!S55</f>
        <v>#REF!</v>
      </c>
      <c r="T99" s="158"/>
      <c r="U99" s="158"/>
      <c r="V99" s="158"/>
      <c r="W99" s="159"/>
      <c r="X99" s="159"/>
      <c r="Y99" s="159"/>
      <c r="Z99" s="159"/>
      <c r="AA99" s="159"/>
      <c r="AB99" s="159"/>
      <c r="AC99" s="159"/>
      <c r="AD99" s="159"/>
      <c r="AE99" s="159"/>
    </row>
    <row r="100" spans="1:31" s="160" customFormat="1" ht="28.35" hidden="1" customHeight="1" thickBot="1">
      <c r="A100" s="168" t="s">
        <v>4</v>
      </c>
      <c r="B100" s="166" t="e">
        <f>correla!B18*correla!B37*correla!B56</f>
        <v>#REF!</v>
      </c>
      <c r="C100" s="164" t="e">
        <f>correla!C18*correla!C37*correla!C56</f>
        <v>#REF!</v>
      </c>
      <c r="D100" s="164" t="e">
        <f>correla!D18*correla!D37*correla!D56</f>
        <v>#REF!</v>
      </c>
      <c r="E100" s="164" t="e">
        <f>correla!E18*correla!E37*correla!E56</f>
        <v>#REF!</v>
      </c>
      <c r="F100" s="164" t="e">
        <f>correla!F18*correla!F37*correla!F56</f>
        <v>#REF!</v>
      </c>
      <c r="G100" s="164" t="e">
        <f>correla!G18*correla!G37*correla!G56</f>
        <v>#REF!</v>
      </c>
      <c r="H100" s="164" t="e">
        <f>correla!H18*correla!H37*correla!H56</f>
        <v>#REF!</v>
      </c>
      <c r="I100" s="164" t="e">
        <f>correla!I18*correla!I37*correla!I56</f>
        <v>#REF!</v>
      </c>
      <c r="J100" s="164" t="e">
        <f>correla!J18*correla!J37*correla!J56</f>
        <v>#REF!</v>
      </c>
      <c r="K100" s="164" t="e">
        <f>correla!K18*correla!K37*correla!K56</f>
        <v>#REF!</v>
      </c>
      <c r="L100" s="164" t="e">
        <f>correla!L18*correla!L37*correla!L56</f>
        <v>#REF!</v>
      </c>
      <c r="M100" s="164" t="e">
        <f>correla!M18*correla!M37*correla!M56</f>
        <v>#REF!</v>
      </c>
      <c r="N100" s="164" t="e">
        <f>correla!N18*correla!N37*correla!N56</f>
        <v>#REF!</v>
      </c>
      <c r="O100" s="167" t="e">
        <f>correla!O18*correla!O37*correla!O56</f>
        <v>#REF!</v>
      </c>
      <c r="P100" s="154" t="e">
        <f>correla!P18*correla!P37*correla!P56</f>
        <v>#REF!</v>
      </c>
      <c r="Q100" s="163" t="e">
        <f>correla!Q18*correla!Q37*correla!Q56</f>
        <v>#REF!</v>
      </c>
      <c r="R100" s="164" t="e">
        <f>correla!R18*correla!R37*correla!R56</f>
        <v>#REF!</v>
      </c>
      <c r="S100" s="165" t="e">
        <f>correla!S18*correla!S37*correla!S56</f>
        <v>#REF!</v>
      </c>
      <c r="T100" s="158"/>
      <c r="U100" s="158"/>
      <c r="V100" s="158"/>
      <c r="W100" s="159"/>
      <c r="X100" s="159"/>
      <c r="Y100" s="159"/>
      <c r="Z100" s="159"/>
      <c r="AA100" s="159"/>
      <c r="AB100" s="159"/>
      <c r="AC100" s="159"/>
      <c r="AD100" s="159"/>
      <c r="AE100" s="159"/>
    </row>
    <row r="101" spans="1:31" s="160" customFormat="1" ht="28.35" hidden="1" customHeight="1" thickBot="1">
      <c r="A101" s="168" t="s">
        <v>217</v>
      </c>
      <c r="B101" s="166" t="e">
        <f>correla!B19*correla!B38*correla!B57</f>
        <v>#REF!</v>
      </c>
      <c r="C101" s="164" t="e">
        <f>correla!C19*correla!C38*correla!C57</f>
        <v>#REF!</v>
      </c>
      <c r="D101" s="164" t="e">
        <f>correla!D19*correla!D38*correla!D57</f>
        <v>#REF!</v>
      </c>
      <c r="E101" s="164" t="e">
        <f>correla!E19*correla!E38*correla!E57</f>
        <v>#REF!</v>
      </c>
      <c r="F101" s="164" t="e">
        <f>correla!F19*correla!F38*correla!F57</f>
        <v>#REF!</v>
      </c>
      <c r="G101" s="164" t="e">
        <f>correla!G19*correla!G38*correla!G57</f>
        <v>#REF!</v>
      </c>
      <c r="H101" s="164" t="e">
        <f>correla!H19*correla!H38*correla!H57</f>
        <v>#REF!</v>
      </c>
      <c r="I101" s="164" t="e">
        <f>correla!I19*correla!I38*correla!I57</f>
        <v>#REF!</v>
      </c>
      <c r="J101" s="164" t="e">
        <f>correla!J19*correla!J38*correla!J57</f>
        <v>#REF!</v>
      </c>
      <c r="K101" s="164" t="e">
        <f>correla!K19*correla!K38*correla!K57</f>
        <v>#REF!</v>
      </c>
      <c r="L101" s="164" t="e">
        <f>correla!L19*correla!L38*correla!L57</f>
        <v>#REF!</v>
      </c>
      <c r="M101" s="164" t="e">
        <f>correla!M19*correla!M38*correla!M57</f>
        <v>#REF!</v>
      </c>
      <c r="N101" s="164" t="e">
        <f>correla!N19*correla!N38*correla!N57</f>
        <v>#REF!</v>
      </c>
      <c r="O101" s="164" t="e">
        <f>correla!O19*correla!O38*correla!O57</f>
        <v>#REF!</v>
      </c>
      <c r="P101" s="167" t="e">
        <f>correla!P19*correla!P38*correla!P57</f>
        <v>#REF!</v>
      </c>
      <c r="Q101" s="154" t="e">
        <f>correla!Q19*correla!Q38*correla!Q57</f>
        <v>#REF!</v>
      </c>
      <c r="R101" s="163" t="e">
        <f>correla!R19*correla!R38*correla!R57</f>
        <v>#REF!</v>
      </c>
      <c r="S101" s="165" t="e">
        <f>correla!S19*correla!S38*correla!S57</f>
        <v>#REF!</v>
      </c>
      <c r="T101" s="158"/>
      <c r="U101" s="158"/>
      <c r="V101" s="158"/>
      <c r="W101" s="159"/>
      <c r="X101" s="159"/>
      <c r="Y101" s="159"/>
      <c r="Z101" s="159"/>
      <c r="AA101" s="159"/>
      <c r="AB101" s="159"/>
      <c r="AC101" s="159"/>
      <c r="AD101" s="159"/>
      <c r="AE101" s="159"/>
    </row>
    <row r="102" spans="1:31" s="160" customFormat="1" ht="28.35" hidden="1" customHeight="1" thickBot="1">
      <c r="A102" s="168" t="s">
        <v>220</v>
      </c>
      <c r="B102" s="166" t="e">
        <f>correla!B20*correla!B39*correla!B58</f>
        <v>#REF!</v>
      </c>
      <c r="C102" s="164" t="e">
        <f>correla!C20*correla!C39*correla!C58</f>
        <v>#REF!</v>
      </c>
      <c r="D102" s="164" t="e">
        <f>correla!D20*correla!D39*correla!D58</f>
        <v>#REF!</v>
      </c>
      <c r="E102" s="164" t="e">
        <f>correla!E20*correla!E39*correla!E58</f>
        <v>#REF!</v>
      </c>
      <c r="F102" s="164" t="e">
        <f>correla!F20*correla!F39*correla!F58</f>
        <v>#REF!</v>
      </c>
      <c r="G102" s="164" t="e">
        <f>correla!G20*correla!G39*correla!G58</f>
        <v>#REF!</v>
      </c>
      <c r="H102" s="164" t="e">
        <f>correla!H20*correla!H39*correla!H58</f>
        <v>#REF!</v>
      </c>
      <c r="I102" s="164" t="e">
        <f>correla!I20*correla!I39*correla!I58</f>
        <v>#REF!</v>
      </c>
      <c r="J102" s="164" t="e">
        <f>correla!J20*correla!J39*correla!J58</f>
        <v>#REF!</v>
      </c>
      <c r="K102" s="164" t="e">
        <f>correla!K20*correla!K39*correla!K58</f>
        <v>#REF!</v>
      </c>
      <c r="L102" s="164" t="e">
        <f>correla!L20*correla!L39*correla!L58</f>
        <v>#REF!</v>
      </c>
      <c r="M102" s="164" t="e">
        <f>correla!M20*correla!M39*correla!M58</f>
        <v>#REF!</v>
      </c>
      <c r="N102" s="164" t="e">
        <f>correla!N20*correla!N39*correla!N58</f>
        <v>#REF!</v>
      </c>
      <c r="O102" s="164" t="e">
        <f>correla!O20*correla!O39*correla!O58</f>
        <v>#REF!</v>
      </c>
      <c r="P102" s="164" t="e">
        <f>correla!P20*correla!P39*correla!P58</f>
        <v>#REF!</v>
      </c>
      <c r="Q102" s="167" t="e">
        <f>correla!Q20*correla!Q39*correla!Q58</f>
        <v>#REF!</v>
      </c>
      <c r="R102" s="154" t="e">
        <f>correla!R20*correla!R39*correla!R58</f>
        <v>#REF!</v>
      </c>
      <c r="S102" s="169" t="e">
        <f>correla!S20*correla!S39*correla!S58</f>
        <v>#REF!</v>
      </c>
      <c r="T102" s="158"/>
      <c r="U102" s="158"/>
      <c r="V102" s="158"/>
      <c r="W102" s="159"/>
      <c r="X102" s="159"/>
      <c r="Y102" s="159"/>
      <c r="Z102" s="159"/>
      <c r="AA102" s="159"/>
      <c r="AB102" s="159"/>
      <c r="AC102" s="159"/>
      <c r="AD102" s="159"/>
      <c r="AE102" s="159"/>
    </row>
    <row r="103" spans="1:31" s="160" customFormat="1" ht="28.35" hidden="1" customHeight="1" thickBot="1">
      <c r="A103" s="170" t="s">
        <v>0</v>
      </c>
      <c r="B103" s="171" t="e">
        <f>correla!B21*correla!B40*correla!B59</f>
        <v>#REF!</v>
      </c>
      <c r="C103" s="172" t="e">
        <f>correla!C21*correla!C40*correla!C59</f>
        <v>#REF!</v>
      </c>
      <c r="D103" s="172" t="e">
        <f>correla!D21*correla!D40*correla!D59</f>
        <v>#REF!</v>
      </c>
      <c r="E103" s="172" t="e">
        <f>correla!E21*correla!E40*correla!E59</f>
        <v>#REF!</v>
      </c>
      <c r="F103" s="172" t="e">
        <f>correla!F21*correla!F40*correla!F59</f>
        <v>#REF!</v>
      </c>
      <c r="G103" s="172" t="e">
        <f>correla!G21*correla!G40*correla!G59</f>
        <v>#REF!</v>
      </c>
      <c r="H103" s="172" t="e">
        <f>correla!H21*correla!H40*correla!H59</f>
        <v>#REF!</v>
      </c>
      <c r="I103" s="172" t="e">
        <f>correla!I21*correla!I40*correla!I59</f>
        <v>#REF!</v>
      </c>
      <c r="J103" s="172" t="e">
        <f>correla!J21*correla!J40*correla!J59</f>
        <v>#REF!</v>
      </c>
      <c r="K103" s="172" t="e">
        <f>correla!K21*correla!K40*correla!K59</f>
        <v>#REF!</v>
      </c>
      <c r="L103" s="172" t="e">
        <f>correla!L21*correla!L40*correla!L59</f>
        <v>#REF!</v>
      </c>
      <c r="M103" s="172" t="e">
        <f>correla!M21*correla!M40*correla!M59</f>
        <v>#REF!</v>
      </c>
      <c r="N103" s="172" t="e">
        <f>correla!N21*correla!N40*correla!N59</f>
        <v>#REF!</v>
      </c>
      <c r="O103" s="172" t="e">
        <f>correla!O21*correla!O40*correla!O59</f>
        <v>#REF!</v>
      </c>
      <c r="P103" s="172" t="e">
        <f>correla!P21*correla!P40*correla!P59</f>
        <v>#REF!</v>
      </c>
      <c r="Q103" s="172" t="e">
        <f>correla!Q21*correla!Q40*correla!Q59</f>
        <v>#REF!</v>
      </c>
      <c r="R103" s="173" t="e">
        <f>correla!R21*correla!R40*correla!R59</f>
        <v>#REF!</v>
      </c>
      <c r="S103" s="154" t="e">
        <f>correla!S21*correla!S40*correla!S59</f>
        <v>#REF!</v>
      </c>
      <c r="T103" s="158"/>
      <c r="U103" s="158"/>
      <c r="V103" s="158"/>
      <c r="W103" s="159"/>
      <c r="X103" s="159"/>
      <c r="Y103" s="159"/>
      <c r="Z103" s="159"/>
      <c r="AA103" s="159"/>
      <c r="AB103" s="159"/>
      <c r="AC103" s="159"/>
      <c r="AD103" s="159"/>
      <c r="AE103" s="159"/>
    </row>
    <row r="104" spans="1:31" s="141" customFormat="1" ht="16.5" hidden="1" thickTop="1">
      <c r="G104" s="143"/>
      <c r="M104" s="144"/>
      <c r="N104" s="144"/>
      <c r="O104" s="144"/>
      <c r="Q104" s="145"/>
      <c r="R104" s="145"/>
      <c r="S104" s="145"/>
      <c r="T104" s="145"/>
      <c r="U104" s="145"/>
      <c r="V104" s="145"/>
      <c r="W104" s="143"/>
      <c r="X104" s="143"/>
      <c r="Y104" s="143"/>
      <c r="Z104" s="143"/>
      <c r="AA104" s="143"/>
      <c r="AB104" s="143"/>
      <c r="AC104" s="143"/>
      <c r="AD104" s="143"/>
      <c r="AE104" s="143"/>
    </row>
    <row r="105" spans="1:31" s="141" customFormat="1">
      <c r="G105" s="143"/>
      <c r="M105" s="144"/>
      <c r="N105" s="144"/>
      <c r="O105" s="144"/>
      <c r="Q105" s="145"/>
      <c r="R105" s="145"/>
      <c r="S105" s="145"/>
      <c r="T105" s="145"/>
      <c r="U105" s="145"/>
      <c r="V105" s="145"/>
      <c r="W105" s="143"/>
      <c r="X105" s="143"/>
      <c r="Y105" s="143"/>
      <c r="Z105" s="143"/>
      <c r="AA105" s="143"/>
      <c r="AB105" s="143"/>
      <c r="AC105" s="143"/>
      <c r="AD105" s="143"/>
      <c r="AE105" s="143"/>
    </row>
    <row r="106" spans="1:31" s="141" customFormat="1">
      <c r="G106" s="143"/>
      <c r="M106" s="144"/>
      <c r="N106" s="144"/>
      <c r="O106" s="144"/>
      <c r="Q106" s="145"/>
      <c r="R106" s="145"/>
      <c r="S106" s="145"/>
      <c r="T106" s="145"/>
      <c r="U106" s="145"/>
      <c r="V106" s="145"/>
      <c r="W106" s="143"/>
      <c r="X106" s="143"/>
      <c r="Y106" s="143"/>
      <c r="Z106" s="143"/>
      <c r="AA106" s="143"/>
      <c r="AB106" s="143"/>
      <c r="AC106" s="143"/>
      <c r="AD106" s="143"/>
      <c r="AE106" s="143"/>
    </row>
    <row r="107" spans="1:31" s="141" customFormat="1">
      <c r="G107" s="143"/>
      <c r="M107" s="144"/>
      <c r="N107" s="144"/>
      <c r="O107" s="144"/>
      <c r="Q107" s="145"/>
      <c r="R107" s="145"/>
      <c r="S107" s="145"/>
      <c r="T107" s="145"/>
      <c r="U107" s="145"/>
      <c r="V107" s="145"/>
      <c r="W107" s="143"/>
      <c r="X107" s="143"/>
      <c r="Y107" s="143"/>
      <c r="Z107" s="143"/>
      <c r="AA107" s="143"/>
      <c r="AB107" s="143"/>
      <c r="AC107" s="143"/>
      <c r="AD107" s="143"/>
      <c r="AE107" s="143"/>
    </row>
    <row r="108" spans="1:31" s="141" customFormat="1">
      <c r="G108" s="143"/>
      <c r="M108" s="144"/>
      <c r="N108" s="144"/>
      <c r="O108" s="144"/>
      <c r="Q108" s="145"/>
      <c r="R108" s="145"/>
      <c r="S108" s="145"/>
      <c r="T108" s="145"/>
      <c r="U108" s="145"/>
      <c r="V108" s="145"/>
      <c r="W108" s="143"/>
      <c r="X108" s="143"/>
      <c r="Y108" s="143"/>
      <c r="Z108" s="143"/>
      <c r="AA108" s="143"/>
      <c r="AB108" s="143"/>
      <c r="AC108" s="143"/>
      <c r="AD108" s="143"/>
      <c r="AE108" s="143"/>
    </row>
    <row r="109" spans="1:31" s="141" customFormat="1">
      <c r="G109" s="143"/>
      <c r="M109" s="144"/>
      <c r="N109" s="144"/>
      <c r="O109" s="144"/>
      <c r="Q109" s="145"/>
      <c r="R109" s="145"/>
      <c r="S109" s="145"/>
      <c r="T109" s="145"/>
      <c r="U109" s="145"/>
      <c r="V109" s="145"/>
      <c r="W109" s="143"/>
      <c r="X109" s="143"/>
      <c r="Y109" s="143"/>
      <c r="Z109" s="143"/>
      <c r="AA109" s="143"/>
      <c r="AB109" s="143"/>
      <c r="AC109" s="143"/>
      <c r="AD109" s="143"/>
      <c r="AE109" s="143"/>
    </row>
    <row r="110" spans="1:31" s="141" customFormat="1">
      <c r="G110" s="143"/>
      <c r="M110" s="144"/>
      <c r="N110" s="144"/>
      <c r="O110" s="144"/>
      <c r="Q110" s="145"/>
      <c r="R110" s="145"/>
      <c r="S110" s="145"/>
      <c r="T110" s="145"/>
      <c r="U110" s="145"/>
      <c r="V110" s="145"/>
      <c r="W110" s="143"/>
      <c r="X110" s="143"/>
      <c r="Y110" s="143"/>
      <c r="Z110" s="143"/>
      <c r="AA110" s="143"/>
      <c r="AB110" s="143"/>
      <c r="AC110" s="143"/>
      <c r="AD110" s="143"/>
      <c r="AE110" s="143"/>
    </row>
    <row r="111" spans="1:31" s="141" customFormat="1">
      <c r="G111" s="143"/>
      <c r="M111" s="144"/>
      <c r="N111" s="144"/>
      <c r="O111" s="144"/>
      <c r="Q111" s="145"/>
      <c r="R111" s="145"/>
      <c r="S111" s="145"/>
      <c r="T111" s="145"/>
      <c r="U111" s="145"/>
      <c r="V111" s="145"/>
      <c r="W111" s="143"/>
      <c r="X111" s="143"/>
      <c r="Y111" s="143"/>
      <c r="Z111" s="143"/>
      <c r="AA111" s="143"/>
      <c r="AB111" s="143"/>
      <c r="AC111" s="143"/>
      <c r="AD111" s="143"/>
      <c r="AE111" s="143"/>
    </row>
    <row r="112" spans="1:31" s="141" customFormat="1">
      <c r="G112" s="143"/>
      <c r="M112" s="144"/>
      <c r="N112" s="144"/>
      <c r="O112" s="144"/>
      <c r="Q112" s="145"/>
      <c r="R112" s="145"/>
      <c r="S112" s="145"/>
      <c r="T112" s="145"/>
      <c r="U112" s="145"/>
      <c r="V112" s="145"/>
      <c r="W112" s="143"/>
      <c r="X112" s="143"/>
      <c r="Y112" s="143"/>
      <c r="Z112" s="143"/>
      <c r="AA112" s="143"/>
      <c r="AB112" s="143"/>
      <c r="AC112" s="143"/>
      <c r="AD112" s="143"/>
      <c r="AE112" s="143"/>
    </row>
    <row r="113" spans="1:58" s="141" customFormat="1">
      <c r="H113" s="143"/>
      <c r="N113" s="144"/>
      <c r="O113" s="144"/>
      <c r="P113" s="144"/>
      <c r="R113" s="145"/>
      <c r="S113" s="145"/>
      <c r="T113" s="145"/>
      <c r="U113" s="145"/>
      <c r="V113" s="145"/>
      <c r="W113" s="145"/>
      <c r="X113" s="143"/>
      <c r="Y113" s="143"/>
      <c r="Z113" s="143"/>
      <c r="AA113" s="143"/>
      <c r="AB113" s="143"/>
      <c r="AC113" s="143"/>
      <c r="AD113" s="143"/>
      <c r="AE113" s="143"/>
      <c r="AF113" s="143"/>
    </row>
    <row r="114" spans="1:58" s="174" customFormat="1" ht="64.349999999999994" customHeight="1">
      <c r="A114" s="174" t="s">
        <v>13</v>
      </c>
      <c r="B114" s="174" t="s">
        <v>212</v>
      </c>
      <c r="C114" s="174" t="s">
        <v>238</v>
      </c>
      <c r="D114" s="174" t="s">
        <v>207</v>
      </c>
      <c r="E114" s="174" t="s">
        <v>209</v>
      </c>
      <c r="F114" s="174" t="s">
        <v>210</v>
      </c>
      <c r="G114" s="175" t="s">
        <v>213</v>
      </c>
      <c r="H114" s="175" t="s">
        <v>228</v>
      </c>
      <c r="I114" s="174" t="s">
        <v>214</v>
      </c>
      <c r="J114" s="174" t="s">
        <v>2</v>
      </c>
      <c r="K114" s="174" t="s">
        <v>208</v>
      </c>
      <c r="L114" s="174" t="s">
        <v>4</v>
      </c>
      <c r="M114" s="174" t="s">
        <v>5</v>
      </c>
      <c r="N114" s="175" t="s">
        <v>216</v>
      </c>
      <c r="O114" s="175" t="s">
        <v>226</v>
      </c>
      <c r="P114" s="175" t="s">
        <v>227</v>
      </c>
      <c r="Q114" s="175" t="s">
        <v>244</v>
      </c>
      <c r="R114" s="175" t="s">
        <v>0</v>
      </c>
      <c r="S114" s="175" t="s">
        <v>248</v>
      </c>
      <c r="T114" s="345" t="s">
        <v>245</v>
      </c>
      <c r="U114" s="345"/>
      <c r="V114" s="175" t="s">
        <v>247</v>
      </c>
      <c r="W114" s="175" t="s">
        <v>246</v>
      </c>
      <c r="X114" s="175"/>
      <c r="Y114" s="345" t="s">
        <v>274</v>
      </c>
      <c r="Z114" s="345"/>
      <c r="AA114" s="175" t="s">
        <v>275</v>
      </c>
      <c r="AB114" s="175" t="s">
        <v>280</v>
      </c>
      <c r="AC114" s="175" t="s">
        <v>273</v>
      </c>
      <c r="AE114" s="174" t="s">
        <v>215</v>
      </c>
      <c r="AK114" s="174" t="s">
        <v>250</v>
      </c>
      <c r="AL114" s="174" t="s">
        <v>249</v>
      </c>
      <c r="AM114" s="174" t="s">
        <v>283</v>
      </c>
      <c r="AN114" s="174">
        <v>2016</v>
      </c>
      <c r="AO114" s="174" t="s">
        <v>276</v>
      </c>
      <c r="AP114" s="174" t="s">
        <v>281</v>
      </c>
      <c r="AQ114" s="174" t="s">
        <v>277</v>
      </c>
      <c r="AS114" s="346" t="s">
        <v>279</v>
      </c>
      <c r="AT114" s="346"/>
      <c r="AU114" s="346" t="s">
        <v>278</v>
      </c>
      <c r="AV114" s="346"/>
      <c r="AW114" s="174">
        <v>2016</v>
      </c>
      <c r="AZ114" s="174" t="s">
        <v>282</v>
      </c>
      <c r="BA114" s="174">
        <v>2016</v>
      </c>
    </row>
    <row r="115" spans="1:58" s="141" customFormat="1">
      <c r="A115" s="180" t="e">
        <f>MIN(#REF!)</f>
        <v>#REF!</v>
      </c>
      <c r="B115" s="177" t="e">
        <f>MIN(#REF!)</f>
        <v>#REF!</v>
      </c>
      <c r="C115" s="178" t="e">
        <f>MIN(#REF!)</f>
        <v>#REF!</v>
      </c>
      <c r="D115" s="179" t="e">
        <f>MIN(#REF!)</f>
        <v>#REF!</v>
      </c>
      <c r="E115" s="177" t="e">
        <f>MIN(#REF!)</f>
        <v>#REF!</v>
      </c>
      <c r="F115" s="177" t="e">
        <f>MIN(#REF!)</f>
        <v>#REF!</v>
      </c>
      <c r="G115" s="176" t="e">
        <f>MIN(#REF!)</f>
        <v>#REF!</v>
      </c>
      <c r="H115" s="176" t="e">
        <f>MIN(#REF!)</f>
        <v>#REF!</v>
      </c>
      <c r="I115" s="143" t="e">
        <f>MIN(#REF!)</f>
        <v>#REF!</v>
      </c>
      <c r="J115" s="180" t="e">
        <f>MIN(#REF!)</f>
        <v>#REF!</v>
      </c>
      <c r="K115" s="180" t="e">
        <f>MIN(#REF!)</f>
        <v>#REF!</v>
      </c>
      <c r="L115" s="180" t="e">
        <f>MIN(#REF!)</f>
        <v>#REF!</v>
      </c>
      <c r="M115" s="180" t="e">
        <f>MIN(#REF!)</f>
        <v>#REF!</v>
      </c>
      <c r="N115" s="143" t="e">
        <f>MIN(#REF!)</f>
        <v>#REF!</v>
      </c>
      <c r="O115" s="180" t="e">
        <f>MIN(#REF!)</f>
        <v>#REF!</v>
      </c>
      <c r="P115" s="180" t="e">
        <f>MIN(#REF!)</f>
        <v>#REF!</v>
      </c>
      <c r="Q115" s="181" t="e">
        <f>MIN(#REF!)</f>
        <v>#REF!</v>
      </c>
      <c r="R115" s="180" t="e">
        <f>MIN(#REF!)</f>
        <v>#REF!</v>
      </c>
      <c r="S115" s="181" t="e">
        <f>MIN(#REF!)</f>
        <v>#REF!</v>
      </c>
      <c r="T115" s="181" t="e">
        <f>MAX(#REF!)</f>
        <v>#REF!</v>
      </c>
      <c r="U115" s="182" t="e">
        <f>MIN(#REF!)</f>
        <v>#REF!</v>
      </c>
      <c r="V115" s="142" t="e">
        <f>(T115-U115)/10</f>
        <v>#REF!</v>
      </c>
      <c r="Y115" s="181" t="e">
        <f>MAX(#REF!)</f>
        <v>#REF!</v>
      </c>
      <c r="Z115" s="182" t="e">
        <f>MIN(#REF!)</f>
        <v>#REF!</v>
      </c>
      <c r="AA115" s="142" t="e">
        <f>(Y115-Z115)/10</f>
        <v>#REF!</v>
      </c>
      <c r="AB115" s="142"/>
      <c r="AC115" s="142"/>
      <c r="AD115" s="183">
        <f>MAX(aux!AJ5:AJ132)</f>
        <v>1.1819175612037757E-2</v>
      </c>
      <c r="AE115" s="183">
        <f>MIN(aux!AJ5:AJ132)</f>
        <v>5.3055307649558479E-3</v>
      </c>
      <c r="AF115" s="184">
        <f>(AD115-AE115)/10</f>
        <v>6.5136448470819088E-4</v>
      </c>
      <c r="AI115" s="141" t="e">
        <f>MID(#REF!,5,LEN(#REF!)-4)</f>
        <v>#REF!</v>
      </c>
      <c r="AJ115" s="141" t="e">
        <f>#REF!</f>
        <v>#REF!</v>
      </c>
      <c r="AK115" s="141" t="e">
        <f>_xlfn.RANK.EQ(#REF!,#REF!)</f>
        <v>#REF!</v>
      </c>
      <c r="AL115" s="142" t="e">
        <f>#REF!</f>
        <v>#REF!</v>
      </c>
      <c r="AM115" s="185" t="e">
        <f>_xlfn.RANK.EQ(#REF!,#REF!)</f>
        <v>#REF!</v>
      </c>
      <c r="AN115" s="142">
        <v>1495786.0356759471</v>
      </c>
      <c r="AO115" s="141" t="e">
        <f>_xlfn.RANK.EQ(#REF!,#REF!)</f>
        <v>#REF!</v>
      </c>
      <c r="AP115" s="141">
        <v>10</v>
      </c>
      <c r="AQ115" s="142" t="e">
        <f>#REF!</f>
        <v>#REF!</v>
      </c>
      <c r="AR115" s="141">
        <v>1</v>
      </c>
      <c r="AS115" s="141" t="e">
        <f t="shared" ref="AS115:AS135" si="0">INDEX(AI$115:AI$135,MATCH(AR115,AK$115:AK$135,0))</f>
        <v>#N/A</v>
      </c>
      <c r="AT115" s="142" t="e">
        <f t="shared" ref="AT115:AT135" si="1">INDEX(AL$115:AL$135,MATCH(AR115,AK$115:AK$135,0))</f>
        <v>#N/A</v>
      </c>
      <c r="AU115" s="141" t="e">
        <f t="shared" ref="AU115:AU135" si="2">INDEX(AI$115:AI$135,MATCH(AR115,AO$115:AO$135,0))</f>
        <v>#N/A</v>
      </c>
      <c r="AV115" s="142" t="e">
        <f t="shared" ref="AV115:AV135" si="3">INDEX(AQ$115:AQ$135,MATCH(AR115,AO$115:AO$135,0))</f>
        <v>#N/A</v>
      </c>
      <c r="AW115" s="142" t="e">
        <f t="shared" ref="AW115:AW135" si="4">INDEX(AN$115:AN$135,MATCH(AU115,AI$115:AI$135,0))</f>
        <v>#N/A</v>
      </c>
      <c r="AY115" s="141" t="e">
        <f t="shared" ref="AY115:AY135" si="5">INDEX(AI$115:AI$135,MATCH(AR115,AP$115:AP$135,0))</f>
        <v>#REF!</v>
      </c>
      <c r="AZ115" s="142" t="e">
        <f t="shared" ref="AZ115:AZ135" si="6">INDEX(AQ$115:AQ$135,MATCH(AR115,AP$115:AP$135,0))</f>
        <v>#REF!</v>
      </c>
      <c r="BA115" s="142">
        <f t="shared" ref="BA115:BA135" si="7">INDEX(AN$115:AN$135,MATCH(AR115,AP$115:AP$135,0))</f>
        <v>2192631.8434095425</v>
      </c>
      <c r="BB115" s="142" t="e">
        <f>INDEX(AI$115:AI$135,MATCH(AR115,AP$115:AP$135,0))</f>
        <v>#REF!</v>
      </c>
      <c r="BC115" s="141" t="e">
        <f>INDEX(AJ$115:AJ$135,MATCH(AY115,AI$115:AI$135,0))</f>
        <v>#REF!</v>
      </c>
    </row>
    <row r="116" spans="1:58" s="141" customFormat="1">
      <c r="A116" s="180" t="e">
        <f>_xlfn.QUARTILE.INC(#REF!,1)</f>
        <v>#REF!</v>
      </c>
      <c r="B116" s="177" t="e">
        <f>_xlfn.QUARTILE.INC(#REF!,1)</f>
        <v>#REF!</v>
      </c>
      <c r="C116" s="178" t="e">
        <f>_xlfn.QUARTILE.INC(#REF!,1)</f>
        <v>#REF!</v>
      </c>
      <c r="D116" s="179" t="e">
        <f>_xlfn.QUARTILE.INC(#REF!,1)</f>
        <v>#REF!</v>
      </c>
      <c r="E116" s="177" t="e">
        <f>_xlfn.QUARTILE.INC(#REF!,1)</f>
        <v>#REF!</v>
      </c>
      <c r="F116" s="177" t="e">
        <f>_xlfn.QUARTILE.INC(#REF!,1)</f>
        <v>#REF!</v>
      </c>
      <c r="G116" s="176" t="e">
        <f>_xlfn.QUARTILE.INC(#REF!,1)</f>
        <v>#REF!</v>
      </c>
      <c r="H116" s="176" t="e">
        <f>_xlfn.QUARTILE.INC(#REF!,1)</f>
        <v>#REF!</v>
      </c>
      <c r="I116" s="143" t="e">
        <f>_xlfn.QUARTILE.INC(#REF!,1)</f>
        <v>#REF!</v>
      </c>
      <c r="J116" s="180" t="e">
        <f>_xlfn.QUARTILE.INC(#REF!,1)</f>
        <v>#REF!</v>
      </c>
      <c r="K116" s="180" t="e">
        <f>_xlfn.QUARTILE.INC(#REF!,1)</f>
        <v>#REF!</v>
      </c>
      <c r="L116" s="180" t="e">
        <f>_xlfn.QUARTILE.INC(#REF!,1)</f>
        <v>#REF!</v>
      </c>
      <c r="M116" s="180" t="e">
        <f>_xlfn.QUARTILE.INC(#REF!,1)</f>
        <v>#REF!</v>
      </c>
      <c r="N116" s="143" t="e">
        <f>_xlfn.QUARTILE.INC(#REF!,1)</f>
        <v>#REF!</v>
      </c>
      <c r="O116" s="180" t="e">
        <f>_xlfn.QUARTILE.INC(#REF!,1)</f>
        <v>#REF!</v>
      </c>
      <c r="P116" s="180" t="e">
        <f>_xlfn.QUARTILE.INC(#REF!,1)</f>
        <v>#REF!</v>
      </c>
      <c r="Q116" s="181" t="e">
        <f>_xlfn.QUARTILE.INC(#REF!:#REF!,1)</f>
        <v>#REF!</v>
      </c>
      <c r="R116" s="180" t="e">
        <f>_xlfn.QUARTILE.INC(#REF!,1)</f>
        <v>#REF!</v>
      </c>
      <c r="S116" s="181" t="e">
        <f>_xlfn.QUARTILE.INC(#REF!:#REF!,1)</f>
        <v>#REF!</v>
      </c>
      <c r="U116" s="186" t="e">
        <f>MIN(#REF!)</f>
        <v>#REF!</v>
      </c>
      <c r="V116" s="141" t="e">
        <f ca="1">COUNTIF(#REF!,CONCATENATE("=",TEXT(OFFSET(U116,0,0),"0")))</f>
        <v>#REF!</v>
      </c>
      <c r="W116" s="141" t="e">
        <f ca="1">TEXT(OFFSET(U116,0,0),"#.##0€")</f>
        <v>#REF!</v>
      </c>
      <c r="Z116" s="182" t="e">
        <f>MIN(#REF!)</f>
        <v>#REF!</v>
      </c>
      <c r="AA116" s="141" t="e">
        <f ca="1">COUNTIF(#REF!,CONCATENATE("=",TEXT(OFFSET(Z116,0,0),"0")))</f>
        <v>#REF!</v>
      </c>
      <c r="AB116" s="141" t="e">
        <f ca="1">COUNTIF(#REF!,CONCATENATE("=",TEXT(OFFSET(Z116,0,0),"0")))</f>
        <v>#REF!</v>
      </c>
      <c r="AC116" s="141" t="e">
        <f ca="1">TEXT(OFFSET(Z116,0,0),"#.##0€")</f>
        <v>#REF!</v>
      </c>
      <c r="AD116" s="183"/>
      <c r="AE116" s="183">
        <f>MIN(aux!AJ5:AJ132)</f>
        <v>5.3055307649558479E-3</v>
      </c>
      <c r="AF116" s="187">
        <f ca="1">COUNTIF(aux!AJ5:AJ132,CONCATENATE("=",TEXT(OFFSET(AE116,0,0),"0,0000")))</f>
        <v>0</v>
      </c>
      <c r="AG116" s="141" t="str">
        <f ca="1">TEXT(OFFSET(AE116,0,0),"0,####")</f>
        <v>0,0053</v>
      </c>
      <c r="AI116" s="141" t="e">
        <f>MID(#REF!,5,LEN(#REF!)-4)</f>
        <v>#REF!</v>
      </c>
      <c r="AJ116" s="141" t="e">
        <f>#REF!</f>
        <v>#REF!</v>
      </c>
      <c r="AK116" s="141" t="e">
        <f>_xlfn.RANK.EQ(#REF!,#REF!)</f>
        <v>#REF!</v>
      </c>
      <c r="AL116" s="142" t="e">
        <f>#REF!</f>
        <v>#REF!</v>
      </c>
      <c r="AM116" s="185" t="e">
        <f>_xlfn.RANK.EQ(#REF!,#REF!)</f>
        <v>#REF!</v>
      </c>
      <c r="AN116" s="142">
        <v>1086723.1573898543</v>
      </c>
      <c r="AO116" s="141" t="e">
        <f>_xlfn.RANK.EQ(#REF!,#REF!)</f>
        <v>#REF!</v>
      </c>
      <c r="AP116" s="141">
        <v>13</v>
      </c>
      <c r="AQ116" s="142" t="e">
        <f>#REF!</f>
        <v>#REF!</v>
      </c>
      <c r="AR116" s="141">
        <v>2</v>
      </c>
      <c r="AS116" s="141" t="e">
        <f t="shared" si="0"/>
        <v>#N/A</v>
      </c>
      <c r="AT116" s="142" t="e">
        <f t="shared" si="1"/>
        <v>#N/A</v>
      </c>
      <c r="AU116" s="141" t="e">
        <f t="shared" si="2"/>
        <v>#N/A</v>
      </c>
      <c r="AV116" s="142" t="e">
        <f t="shared" si="3"/>
        <v>#N/A</v>
      </c>
      <c r="AW116" s="142" t="e">
        <f t="shared" si="4"/>
        <v>#N/A</v>
      </c>
      <c r="AY116" s="141" t="e">
        <f t="shared" si="5"/>
        <v>#REF!</v>
      </c>
      <c r="AZ116" s="142" t="e">
        <f t="shared" si="6"/>
        <v>#REF!</v>
      </c>
      <c r="BA116" s="142">
        <f t="shared" si="7"/>
        <v>2110408.1492816843</v>
      </c>
      <c r="BB116" s="142" t="e">
        <f t="shared" ref="BB116:BB135" si="8">INDEX(AI$115:AI$135,MATCH(AR116,AP$115:AP$135,0))</f>
        <v>#REF!</v>
      </c>
      <c r="BC116" s="141" t="e">
        <f t="shared" ref="BC116:BC135" si="9">INDEX(AJ$115:AJ$135,MATCH(AY116,AI$115:AI$135,0))</f>
        <v>#REF!</v>
      </c>
      <c r="BE116" s="12"/>
      <c r="BF116" s="12"/>
    </row>
    <row r="117" spans="1:58" s="141" customFormat="1">
      <c r="A117" s="180" t="e">
        <f>_xlfn.QUARTILE.INC(#REF!,2)</f>
        <v>#REF!</v>
      </c>
      <c r="B117" s="177" t="e">
        <f>_xlfn.QUARTILE.INC(#REF!,2)</f>
        <v>#REF!</v>
      </c>
      <c r="C117" s="178" t="e">
        <f>_xlfn.QUARTILE.INC(#REF!,2)</f>
        <v>#REF!</v>
      </c>
      <c r="D117" s="179" t="e">
        <f>_xlfn.QUARTILE.INC(#REF!,2)</f>
        <v>#REF!</v>
      </c>
      <c r="E117" s="177" t="e">
        <f>_xlfn.QUARTILE.INC(#REF!,2)</f>
        <v>#REF!</v>
      </c>
      <c r="F117" s="177" t="e">
        <f>_xlfn.QUARTILE.INC(#REF!,2)</f>
        <v>#REF!</v>
      </c>
      <c r="G117" s="176" t="e">
        <f>_xlfn.QUARTILE.INC(#REF!,2)</f>
        <v>#REF!</v>
      </c>
      <c r="H117" s="176" t="e">
        <f>_xlfn.QUARTILE.INC(#REF!,2)</f>
        <v>#REF!</v>
      </c>
      <c r="I117" s="143" t="e">
        <f>_xlfn.QUARTILE.INC(#REF!,2)</f>
        <v>#REF!</v>
      </c>
      <c r="J117" s="180" t="e">
        <f>_xlfn.QUARTILE.INC(#REF!,2)</f>
        <v>#REF!</v>
      </c>
      <c r="K117" s="180" t="e">
        <f>_xlfn.QUARTILE.INC(#REF!,2)</f>
        <v>#REF!</v>
      </c>
      <c r="L117" s="180" t="e">
        <f>_xlfn.QUARTILE.INC(#REF!,2)</f>
        <v>#REF!</v>
      </c>
      <c r="M117" s="180" t="e">
        <f>_xlfn.QUARTILE.INC(#REF!,2)</f>
        <v>#REF!</v>
      </c>
      <c r="N117" s="143" t="e">
        <f>_xlfn.QUARTILE.INC(#REF!,2)</f>
        <v>#REF!</v>
      </c>
      <c r="O117" s="180" t="e">
        <f>_xlfn.QUARTILE.INC(#REF!,2)</f>
        <v>#REF!</v>
      </c>
      <c r="P117" s="180" t="e">
        <f>_xlfn.QUARTILE.INC(#REF!,2)</f>
        <v>#REF!</v>
      </c>
      <c r="Q117" s="181" t="e">
        <f>_xlfn.QUARTILE.INC(#REF!:#REF!,2)</f>
        <v>#REF!</v>
      </c>
      <c r="R117" s="180" t="e">
        <f>_xlfn.QUARTILE.INC(#REF!,2)</f>
        <v>#REF!</v>
      </c>
      <c r="S117" s="181" t="e">
        <f>_xlfn.QUARTILE.INC(#REF!:#REF!,2)</f>
        <v>#REF!</v>
      </c>
      <c r="U117" s="186" t="e">
        <f t="shared" ref="U117:U126" si="10">U116+$V$115</f>
        <v>#REF!</v>
      </c>
      <c r="V117" s="141" t="e">
        <f ca="1">COUNTIFS(#REF!,CONCATENATE("&lt;",TEXT(1+OFFSET(U117,0,0),"0")),#REF!,CONCATENATE("&gt;=", TEXT(1-OFFSET(U116,0,0),"0")))</f>
        <v>#REF!</v>
      </c>
      <c r="W117" s="141" t="e">
        <f ca="1">CONCATENATE( TEXT(OFFSET(U116,0,0),"#.##0€")," - ",TEXT(OFFSET(U117,0,0),"#.##0€"))</f>
        <v>#REF!</v>
      </c>
      <c r="Z117" s="186" t="e">
        <f t="shared" ref="Z117:Z126" si="11">Z116+$AA$115</f>
        <v>#REF!</v>
      </c>
      <c r="AA117" s="141" t="e">
        <f ca="1">COUNTIFS(#REF!,CONCATENATE("&lt;",TEXT(1+OFFSET(Z117,0,0),"0")),#REF!,CONCATENATE("&gt;=", TEXT(1-OFFSET(Z116,0,0),"0")))</f>
        <v>#REF!</v>
      </c>
      <c r="AB117" s="141" t="e">
        <f ca="1">COUNTIFS(#REF!,CONCATENATE("&lt;",TEXT(1+OFFSET(Z117,0,0),"0")),#REF!,CONCATENATE("&gt;=", TEXT(1-OFFSET(Z116,0,0),"0")))</f>
        <v>#REF!</v>
      </c>
      <c r="AC117" s="141" t="e">
        <f ca="1">CONCATENATE( TEXT(OFFSET(Z116,0,0),"#.##0€")," - ",TEXT(OFFSET(Z117,0,0),"#.##0€"))</f>
        <v>#REF!</v>
      </c>
      <c r="AD117" s="183"/>
      <c r="AE117" s="184">
        <f t="shared" ref="AE117:AE126" si="12">AE116+$AF$115</f>
        <v>5.9568952496640388E-3</v>
      </c>
      <c r="AF117" s="187">
        <f ca="1">COUNTIFS(aux!AJ5:AJ132,CONCATENATE("&lt;=",TEXT(OFFSET(AE117,0,0),"0,0000")),aux!AJ5:AJ132,CONCATENATE("&gt;=", TEXT(OFFSET(AE116,0,0),"0,0000")))</f>
        <v>25</v>
      </c>
      <c r="AG117" s="141" t="str">
        <f t="shared" ref="AG117:AG125" ca="1" si="13">CONCATENATE( TEXT(OFFSET(AE116,0,0),"0,####")," - ",TEXT(OFFSET(AE117,0,0),"0,####"))</f>
        <v>0,0053 - 0,006</v>
      </c>
      <c r="AI117" s="141" t="e">
        <f>MID(#REF!,5,LEN(#REF!)-4)</f>
        <v>#REF!</v>
      </c>
      <c r="AJ117" s="141" t="e">
        <f>#REF!</f>
        <v>#REF!</v>
      </c>
      <c r="AK117" s="141" t="e">
        <f>_xlfn.RANK.EQ(#REF!,#REF!)</f>
        <v>#REF!</v>
      </c>
      <c r="AL117" s="142" t="e">
        <f>#REF!</f>
        <v>#REF!</v>
      </c>
      <c r="AM117" s="185" t="e">
        <f>_xlfn.RANK.EQ(#REF!,#REF!)</f>
        <v>#REF!</v>
      </c>
      <c r="AN117" s="142">
        <v>742068.83950391703</v>
      </c>
      <c r="AO117" s="141" t="e">
        <f>_xlfn.RANK.EQ(#REF!,#REF!)</f>
        <v>#REF!</v>
      </c>
      <c r="AP117" s="141">
        <v>20</v>
      </c>
      <c r="AQ117" s="142" t="e">
        <f>#REF!</f>
        <v>#REF!</v>
      </c>
      <c r="AR117" s="141">
        <v>3</v>
      </c>
      <c r="AS117" s="141" t="e">
        <f t="shared" si="0"/>
        <v>#N/A</v>
      </c>
      <c r="AT117" s="142" t="e">
        <f t="shared" si="1"/>
        <v>#N/A</v>
      </c>
      <c r="AU117" s="141" t="e">
        <f t="shared" si="2"/>
        <v>#N/A</v>
      </c>
      <c r="AV117" s="142" t="e">
        <f t="shared" si="3"/>
        <v>#N/A</v>
      </c>
      <c r="AW117" s="142" t="e">
        <f t="shared" si="4"/>
        <v>#N/A</v>
      </c>
      <c r="AY117" s="141" t="e">
        <f t="shared" si="5"/>
        <v>#REF!</v>
      </c>
      <c r="AZ117" s="142" t="e">
        <f t="shared" si="6"/>
        <v>#REF!</v>
      </c>
      <c r="BA117" s="142">
        <f t="shared" si="7"/>
        <v>1967201.8820089989</v>
      </c>
      <c r="BB117" s="142" t="e">
        <f t="shared" si="8"/>
        <v>#REF!</v>
      </c>
      <c r="BC117" s="141" t="e">
        <f t="shared" si="9"/>
        <v>#REF!</v>
      </c>
    </row>
    <row r="118" spans="1:58" s="141" customFormat="1">
      <c r="A118" s="180" t="e">
        <f>_xlfn.QUARTILE.INC(#REF!,3)</f>
        <v>#REF!</v>
      </c>
      <c r="B118" s="177" t="e">
        <f>_xlfn.QUARTILE.INC(#REF!,3)</f>
        <v>#REF!</v>
      </c>
      <c r="C118" s="178" t="e">
        <f>_xlfn.QUARTILE.INC(#REF!,3)</f>
        <v>#REF!</v>
      </c>
      <c r="D118" s="179" t="e">
        <f>_xlfn.QUARTILE.INC(#REF!,3)</f>
        <v>#REF!</v>
      </c>
      <c r="E118" s="177" t="e">
        <f>_xlfn.QUARTILE.INC(#REF!,3)</f>
        <v>#REF!</v>
      </c>
      <c r="F118" s="177" t="e">
        <f>_xlfn.QUARTILE.INC(#REF!,3)</f>
        <v>#REF!</v>
      </c>
      <c r="G118" s="176" t="e">
        <f>_xlfn.QUARTILE.INC(#REF!,3)</f>
        <v>#REF!</v>
      </c>
      <c r="H118" s="176" t="e">
        <f>_xlfn.QUARTILE.INC(#REF!,3)</f>
        <v>#REF!</v>
      </c>
      <c r="I118" s="143" t="e">
        <f>_xlfn.QUARTILE.INC(#REF!,3)</f>
        <v>#REF!</v>
      </c>
      <c r="J118" s="180" t="e">
        <f>_xlfn.QUARTILE.INC(#REF!,3)</f>
        <v>#REF!</v>
      </c>
      <c r="K118" s="180" t="e">
        <f>_xlfn.QUARTILE.INC(#REF!,3)</f>
        <v>#REF!</v>
      </c>
      <c r="L118" s="180" t="e">
        <f>_xlfn.QUARTILE.INC(#REF!,3)</f>
        <v>#REF!</v>
      </c>
      <c r="M118" s="180" t="e">
        <f>_xlfn.QUARTILE.INC(#REF!,3)</f>
        <v>#REF!</v>
      </c>
      <c r="N118" s="143" t="e">
        <f>_xlfn.QUARTILE.INC(#REF!,3)</f>
        <v>#REF!</v>
      </c>
      <c r="O118" s="180" t="e">
        <f>_xlfn.QUARTILE.INC(#REF!,3)</f>
        <v>#REF!</v>
      </c>
      <c r="P118" s="180" t="e">
        <f>_xlfn.QUARTILE.INC(#REF!,3)</f>
        <v>#REF!</v>
      </c>
      <c r="Q118" s="181" t="e">
        <f>_xlfn.QUARTILE.INC(#REF!:#REF!,3)</f>
        <v>#REF!</v>
      </c>
      <c r="R118" s="180" t="e">
        <f>_xlfn.QUARTILE.INC(#REF!,3)</f>
        <v>#REF!</v>
      </c>
      <c r="S118" s="181" t="e">
        <f>_xlfn.QUARTILE.INC(#REF!:#REF!,3)</f>
        <v>#REF!</v>
      </c>
      <c r="U118" s="186" t="e">
        <f t="shared" si="10"/>
        <v>#REF!</v>
      </c>
      <c r="V118" s="141" t="e">
        <f ca="1">COUNTIFS(#REF!,CONCATENATE("&lt;",TEXT(1+OFFSET(U118,0,0),"0")),#REF!,CONCATENATE("&gt;=", TEXT(OFFSET(U117,0,0),"0")))</f>
        <v>#REF!</v>
      </c>
      <c r="W118" s="141" t="e">
        <f ca="1">CONCATENATE( TEXT(OFFSET(U117,0,0)+1,"#.##0€")," - ",TEXT(OFFSET(U118,0,0),"#.##0€"))</f>
        <v>#REF!</v>
      </c>
      <c r="Z118" s="186" t="e">
        <f t="shared" si="11"/>
        <v>#REF!</v>
      </c>
      <c r="AA118" s="141" t="e">
        <f ca="1">COUNTIFS(#REF!,CONCATENATE("&lt;",TEXT(1+OFFSET(Z118,0,0),"0")),#REF!,CONCATENATE("&gt;=", TEXT(OFFSET(Z117,0,0),"0")))</f>
        <v>#REF!</v>
      </c>
      <c r="AB118" s="141" t="e">
        <f ca="1">COUNTIFS(#REF!,CONCATENATE("&lt;",TEXT(1+OFFSET(Z118,0,0),"0")),#REF!,CONCATENATE("&gt;=", TEXT(OFFSET(Z117,0,0),"0")))</f>
        <v>#REF!</v>
      </c>
      <c r="AC118" s="141" t="e">
        <f ca="1">CONCATENATE( TEXT(OFFSET(Z117,0,0)+1,"#.##0€")," - ",TEXT(OFFSET(Z118,0,0),"#.##0€"))</f>
        <v>#REF!</v>
      </c>
      <c r="AD118" s="183"/>
      <c r="AE118" s="184">
        <f t="shared" si="12"/>
        <v>6.6082597343722297E-3</v>
      </c>
      <c r="AF118" s="187">
        <f ca="1">COUNTIFS(aux!AJ5:AJ132,CONCATENATE("&lt;=",TEXT(OFFSET(AE118,0,0),"0,0000")),aux!AJ5:AJ132,CONCATENATE("&gt;", TEXT(OFFSET(AE117,0,0),"0,0000")))</f>
        <v>20</v>
      </c>
      <c r="AG118" s="141" t="str">
        <f ca="1">CONCATENATE( TEXT(OFFSET(AE117,0,0),"0,####")," - ",TEXT(OFFSET(AE118,0,0),"0,####"))</f>
        <v>0,006 - 0,0066</v>
      </c>
      <c r="AI118" s="141" t="e">
        <f>MID(#REF!,5,LEN(#REF!)-4)</f>
        <v>#REF!</v>
      </c>
      <c r="AJ118" s="141" t="e">
        <f>#REF!</f>
        <v>#REF!</v>
      </c>
      <c r="AK118" s="141" t="e">
        <f>_xlfn.RANK.EQ(#REF!,#REF!)</f>
        <v>#REF!</v>
      </c>
      <c r="AL118" s="142" t="e">
        <f>#REF!</f>
        <v>#REF!</v>
      </c>
      <c r="AM118" s="185" t="e">
        <f>_xlfn.RANK.EQ(#REF!,#REF!)</f>
        <v>#REF!</v>
      </c>
      <c r="AN118" s="142">
        <v>810588.58461046522</v>
      </c>
      <c r="AO118" s="141" t="e">
        <f>_xlfn.RANK.EQ(#REF!,#REF!)</f>
        <v>#REF!</v>
      </c>
      <c r="AP118" s="141">
        <v>18</v>
      </c>
      <c r="AQ118" s="142" t="e">
        <f>#REF!</f>
        <v>#REF!</v>
      </c>
      <c r="AR118" s="141">
        <v>4</v>
      </c>
      <c r="AS118" s="141" t="e">
        <f t="shared" si="0"/>
        <v>#N/A</v>
      </c>
      <c r="AT118" s="142" t="e">
        <f t="shared" si="1"/>
        <v>#N/A</v>
      </c>
      <c r="AU118" s="141" t="e">
        <f t="shared" si="2"/>
        <v>#N/A</v>
      </c>
      <c r="AV118" s="142" t="e">
        <f t="shared" si="3"/>
        <v>#N/A</v>
      </c>
      <c r="AW118" s="142" t="e">
        <f t="shared" si="4"/>
        <v>#N/A</v>
      </c>
      <c r="AY118" s="141" t="e">
        <f t="shared" si="5"/>
        <v>#REF!</v>
      </c>
      <c r="AZ118" s="142" t="e">
        <f t="shared" si="6"/>
        <v>#REF!</v>
      </c>
      <c r="BA118" s="142">
        <f t="shared" si="7"/>
        <v>2124112.0983029944</v>
      </c>
      <c r="BB118" s="142" t="e">
        <f t="shared" si="8"/>
        <v>#REF!</v>
      </c>
      <c r="BC118" s="141" t="e">
        <f t="shared" si="9"/>
        <v>#REF!</v>
      </c>
    </row>
    <row r="119" spans="1:58" s="141" customFormat="1">
      <c r="A119" s="180" t="e">
        <f>MAX(#REF!)</f>
        <v>#REF!</v>
      </c>
      <c r="B119" s="177" t="e">
        <f>MAX(#REF!)</f>
        <v>#REF!</v>
      </c>
      <c r="C119" s="178" t="e">
        <f>MAX(#REF!)</f>
        <v>#REF!</v>
      </c>
      <c r="D119" s="179" t="e">
        <f>MAX(#REF!)</f>
        <v>#REF!</v>
      </c>
      <c r="E119" s="177" t="e">
        <f>MAX(#REF!)</f>
        <v>#REF!</v>
      </c>
      <c r="F119" s="177" t="e">
        <f>MAX(#REF!)</f>
        <v>#REF!</v>
      </c>
      <c r="G119" s="176" t="e">
        <f>MAX(#REF!)</f>
        <v>#REF!</v>
      </c>
      <c r="H119" s="176" t="e">
        <f>MAX(#REF!)</f>
        <v>#REF!</v>
      </c>
      <c r="I119" s="143" t="e">
        <f>MAX(#REF!)</f>
        <v>#REF!</v>
      </c>
      <c r="J119" s="180" t="e">
        <f>MAX(#REF!)</f>
        <v>#REF!</v>
      </c>
      <c r="K119" s="180" t="e">
        <f>MAX(#REF!)</f>
        <v>#REF!</v>
      </c>
      <c r="L119" s="180" t="e">
        <f>MAX(#REF!)</f>
        <v>#REF!</v>
      </c>
      <c r="M119" s="180" t="e">
        <f>MAX(#REF!)</f>
        <v>#REF!</v>
      </c>
      <c r="N119" s="143" t="e">
        <f>MAX(#REF!)</f>
        <v>#REF!</v>
      </c>
      <c r="O119" s="180" t="e">
        <f>MAX(#REF!)</f>
        <v>#REF!</v>
      </c>
      <c r="P119" s="180" t="e">
        <f>MAX(#REF!)</f>
        <v>#REF!</v>
      </c>
      <c r="Q119" s="181" t="e">
        <f>MAX(#REF!:#REF!)</f>
        <v>#REF!</v>
      </c>
      <c r="R119" s="180" t="e">
        <f>MAX(#REF!)</f>
        <v>#REF!</v>
      </c>
      <c r="S119" s="181" t="e">
        <f>MAX(#REF!:#REF!)</f>
        <v>#REF!</v>
      </c>
      <c r="U119" s="186" t="e">
        <f t="shared" si="10"/>
        <v>#REF!</v>
      </c>
      <c r="V119" s="141" t="e">
        <f ca="1">COUNTIFS(#REF!,CONCATENATE("&lt;",TEXT(1+OFFSET(U119,0,0),"0")),#REF!,CONCATENATE("&gt;=", TEXT(OFFSET(U118,0,0),"0")))</f>
        <v>#REF!</v>
      </c>
      <c r="W119" s="141" t="e">
        <f t="shared" ref="W119:W125" ca="1" si="14">CONCATENATE( TEXT(OFFSET(U118,0,0)+1,"#.##0€")," - ",TEXT(OFFSET(U119,0,0),"#.##0€"))</f>
        <v>#REF!</v>
      </c>
      <c r="Z119" s="186" t="e">
        <f t="shared" si="11"/>
        <v>#REF!</v>
      </c>
      <c r="AA119" s="141" t="e">
        <f ca="1">COUNTIFS(#REF!,CONCATENATE("&lt;",TEXT(1+OFFSET(Z119,0,0),"0")),#REF!,CONCATENATE("&gt;=", TEXT(OFFSET(Z118,0,0),"0")))</f>
        <v>#REF!</v>
      </c>
      <c r="AB119" s="141" t="e">
        <f ca="1">COUNTIFS(#REF!,CONCATENATE("&lt;",TEXT(1+OFFSET(Z119,0,0),"0")),#REF!,CONCATENATE("&gt;=", TEXT(OFFSET(Z118,0,0),"0")))</f>
        <v>#REF!</v>
      </c>
      <c r="AC119" s="141" t="e">
        <f t="shared" ref="AC119:AC125" ca="1" si="15">CONCATENATE( TEXT(OFFSET(Z118,0,0)+1,"#.##0€")," - ",TEXT(OFFSET(Z119,0,0),"#.##0€"))</f>
        <v>#REF!</v>
      </c>
      <c r="AD119" s="183"/>
      <c r="AE119" s="184">
        <f t="shared" si="12"/>
        <v>7.2596242190804206E-3</v>
      </c>
      <c r="AF119" s="187">
        <f ca="1">COUNTIFS(aux!AJ5:AJ132,CONCATENATE("&lt;=",TEXT(OFFSET(AE119,0,0),"0,0000")),aux!AJ5:AJ132,CONCATENATE("&gt;", TEXT(OFFSET(AE118,0,0),"0,0000")))</f>
        <v>19</v>
      </c>
      <c r="AG119" s="141" t="str">
        <f t="shared" ca="1" si="13"/>
        <v>0,0066 - 0,0073</v>
      </c>
      <c r="AI119" s="141" t="e">
        <f>MID(#REF!,5,LEN(#REF!)-4)</f>
        <v>#REF!</v>
      </c>
      <c r="AJ119" s="141" t="e">
        <f>#REF!</f>
        <v>#REF!</v>
      </c>
      <c r="AK119" s="141" t="e">
        <f>_xlfn.RANK.EQ(#REF!,#REF!)</f>
        <v>#REF!</v>
      </c>
      <c r="AL119" s="142" t="e">
        <f>#REF!</f>
        <v>#REF!</v>
      </c>
      <c r="AM119" s="185" t="e">
        <f>_xlfn.RANK.EQ(#REF!,#REF!)</f>
        <v>#REF!</v>
      </c>
      <c r="AN119" s="142">
        <v>822236.94127857836</v>
      </c>
      <c r="AO119" s="141" t="e">
        <f>_xlfn.RANK.EQ(#REF!,#REF!)</f>
        <v>#REF!</v>
      </c>
      <c r="AP119" s="141">
        <v>21</v>
      </c>
      <c r="AQ119" s="142" t="e">
        <f>#REF!</f>
        <v>#REF!</v>
      </c>
      <c r="AR119" s="141">
        <v>5</v>
      </c>
      <c r="AS119" s="141" t="e">
        <f t="shared" si="0"/>
        <v>#N/A</v>
      </c>
      <c r="AT119" s="142" t="e">
        <f t="shared" si="1"/>
        <v>#N/A</v>
      </c>
      <c r="AU119" s="141" t="e">
        <f t="shared" si="2"/>
        <v>#N/A</v>
      </c>
      <c r="AV119" s="142" t="e">
        <f t="shared" si="3"/>
        <v>#N/A</v>
      </c>
      <c r="AW119" s="142" t="e">
        <f t="shared" si="4"/>
        <v>#N/A</v>
      </c>
      <c r="AY119" s="141" t="e">
        <f t="shared" si="5"/>
        <v>#REF!</v>
      </c>
      <c r="AZ119" s="142" t="e">
        <f t="shared" si="6"/>
        <v>#REF!</v>
      </c>
      <c r="BA119" s="142">
        <f t="shared" si="7"/>
        <v>1850033.1178768014</v>
      </c>
      <c r="BB119" s="142" t="e">
        <f t="shared" si="8"/>
        <v>#REF!</v>
      </c>
      <c r="BC119" s="141" t="e">
        <f t="shared" si="9"/>
        <v>#REF!</v>
      </c>
    </row>
    <row r="120" spans="1:58" s="141" customFormat="1">
      <c r="A120" s="180"/>
      <c r="B120" s="177"/>
      <c r="C120" s="177"/>
      <c r="D120" s="179"/>
      <c r="E120" s="177"/>
      <c r="F120" s="177"/>
      <c r="G120" s="177"/>
      <c r="H120" s="177"/>
      <c r="I120" s="143"/>
      <c r="J120" s="180"/>
      <c r="K120" s="180"/>
      <c r="L120" s="180"/>
      <c r="M120" s="180"/>
      <c r="Q120" s="181"/>
      <c r="R120" s="180"/>
      <c r="S120" s="181"/>
      <c r="U120" s="186" t="e">
        <f t="shared" si="10"/>
        <v>#REF!</v>
      </c>
      <c r="V120" s="141" t="e">
        <f ca="1">COUNTIFS(#REF!,CONCATENATE("&lt;",TEXT(1+OFFSET(U120,0,0),"0")),#REF!,CONCATENATE("&gt;=", TEXT(OFFSET(U119,0,0),"0")))</f>
        <v>#REF!</v>
      </c>
      <c r="W120" s="141" t="e">
        <f t="shared" ca="1" si="14"/>
        <v>#REF!</v>
      </c>
      <c r="Z120" s="186" t="e">
        <f t="shared" si="11"/>
        <v>#REF!</v>
      </c>
      <c r="AA120" s="141" t="e">
        <f ca="1">COUNTIFS(#REF!,CONCATENATE("&lt;",TEXT(1+OFFSET(Z120,0,0),"0")),#REF!,CONCATENATE("&gt;=", TEXT(OFFSET(Z119,0,0),"0")))</f>
        <v>#REF!</v>
      </c>
      <c r="AB120" s="141" t="e">
        <f ca="1">COUNTIFS(#REF!,CONCATENATE("&lt;",TEXT(1+OFFSET(Z120,0,0),"0")),#REF!,CONCATENATE("&gt;=", TEXT(OFFSET(Z119,0,0),"0")))</f>
        <v>#REF!</v>
      </c>
      <c r="AC120" s="141" t="e">
        <f t="shared" ca="1" si="15"/>
        <v>#REF!</v>
      </c>
      <c r="AD120" s="183"/>
      <c r="AE120" s="184">
        <f t="shared" si="12"/>
        <v>7.9109887037886115E-3</v>
      </c>
      <c r="AF120" s="187">
        <f ca="1">COUNTIFS(aux!AJ5:AJ132,CONCATENATE("&lt;=",TEXT(OFFSET(AE120,0,0),"0,0000")),aux!AJ5:AJ132,CONCATENATE("&gt;", TEXT(OFFSET(AE119,0,0),"0,0000")))</f>
        <v>11</v>
      </c>
      <c r="AG120" s="141" t="str">
        <f t="shared" ca="1" si="13"/>
        <v>0,0073 - 0,0079</v>
      </c>
      <c r="AI120" s="141" t="e">
        <f>MID(#REF!,5,LEN(#REF!)-4)</f>
        <v>#REF!</v>
      </c>
      <c r="AJ120" s="141" t="e">
        <f>#REF!</f>
        <v>#REF!</v>
      </c>
      <c r="AK120" s="141" t="e">
        <f>_xlfn.RANK.EQ(#REF!,#REF!)</f>
        <v>#REF!</v>
      </c>
      <c r="AL120" s="142" t="e">
        <f>#REF!</f>
        <v>#REF!</v>
      </c>
      <c r="AM120" s="185" t="e">
        <f>_xlfn.RANK.EQ(#REF!,#REF!)</f>
        <v>#REF!</v>
      </c>
      <c r="AN120" s="142">
        <v>1519082.7490121739</v>
      </c>
      <c r="AO120" s="141" t="e">
        <f>_xlfn.RANK.EQ(#REF!,#REF!)</f>
        <v>#REF!</v>
      </c>
      <c r="AP120" s="141">
        <v>9</v>
      </c>
      <c r="AQ120" s="142" t="e">
        <f>#REF!</f>
        <v>#REF!</v>
      </c>
      <c r="AR120" s="141">
        <v>6</v>
      </c>
      <c r="AS120" s="141" t="e">
        <f t="shared" si="0"/>
        <v>#N/A</v>
      </c>
      <c r="AT120" s="142" t="e">
        <f t="shared" si="1"/>
        <v>#N/A</v>
      </c>
      <c r="AU120" s="141" t="e">
        <f t="shared" si="2"/>
        <v>#N/A</v>
      </c>
      <c r="AV120" s="142" t="e">
        <f t="shared" si="3"/>
        <v>#N/A</v>
      </c>
      <c r="AW120" s="142" t="e">
        <f t="shared" si="4"/>
        <v>#N/A</v>
      </c>
      <c r="AY120" s="141" t="e">
        <f t="shared" si="5"/>
        <v>#REF!</v>
      </c>
      <c r="AZ120" s="142" t="e">
        <f t="shared" si="6"/>
        <v>#REF!</v>
      </c>
      <c r="BA120" s="142">
        <f t="shared" si="7"/>
        <v>1918552.8629833497</v>
      </c>
      <c r="BB120" s="142" t="e">
        <f t="shared" si="8"/>
        <v>#REF!</v>
      </c>
      <c r="BC120" s="141" t="e">
        <f t="shared" si="9"/>
        <v>#REF!</v>
      </c>
      <c r="BE120" s="12"/>
      <c r="BF120" s="12"/>
    </row>
    <row r="121" spans="1:58" s="141" customFormat="1">
      <c r="A121" s="180" t="e">
        <f>A115</f>
        <v>#REF!</v>
      </c>
      <c r="B121" s="177" t="e">
        <f>B115</f>
        <v>#REF!</v>
      </c>
      <c r="C121" s="177" t="e">
        <f>C115</f>
        <v>#REF!</v>
      </c>
      <c r="D121" s="179" t="e">
        <f>D115</f>
        <v>#REF!</v>
      </c>
      <c r="E121" s="177" t="e">
        <f t="shared" ref="E121:R121" si="16">E115</f>
        <v>#REF!</v>
      </c>
      <c r="F121" s="177" t="e">
        <f t="shared" si="16"/>
        <v>#REF!</v>
      </c>
      <c r="G121" s="176" t="e">
        <f t="shared" si="16"/>
        <v>#REF!</v>
      </c>
      <c r="H121" s="176" t="e">
        <f t="shared" si="16"/>
        <v>#REF!</v>
      </c>
      <c r="I121" s="143" t="e">
        <f t="shared" si="16"/>
        <v>#REF!</v>
      </c>
      <c r="J121" s="180" t="e">
        <f t="shared" si="16"/>
        <v>#REF!</v>
      </c>
      <c r="K121" s="180" t="e">
        <f t="shared" si="16"/>
        <v>#REF!</v>
      </c>
      <c r="L121" s="180" t="e">
        <f t="shared" si="16"/>
        <v>#REF!</v>
      </c>
      <c r="M121" s="180" t="e">
        <f t="shared" si="16"/>
        <v>#REF!</v>
      </c>
      <c r="N121" s="176" t="e">
        <f t="shared" si="16"/>
        <v>#REF!</v>
      </c>
      <c r="O121" s="179" t="e">
        <f>O115</f>
        <v>#REF!</v>
      </c>
      <c r="P121" s="179" t="e">
        <f>P115</f>
        <v>#REF!</v>
      </c>
      <c r="Q121" s="181" t="e">
        <f t="shared" si="16"/>
        <v>#REF!</v>
      </c>
      <c r="R121" s="180" t="e">
        <f t="shared" si="16"/>
        <v>#REF!</v>
      </c>
      <c r="S121" s="181" t="e">
        <f>S115</f>
        <v>#REF!</v>
      </c>
      <c r="U121" s="186" t="e">
        <f t="shared" si="10"/>
        <v>#REF!</v>
      </c>
      <c r="V121" s="141" t="e">
        <f ca="1">COUNTIFS(#REF!,CONCATENATE("&lt;",TEXT(1+OFFSET(U121,0,0),"0")),#REF!,CONCATENATE("&gt;=", TEXT(OFFSET(U120,0,0),"0")))</f>
        <v>#REF!</v>
      </c>
      <c r="W121" s="141" t="e">
        <f t="shared" ca="1" si="14"/>
        <v>#REF!</v>
      </c>
      <c r="Z121" s="186" t="e">
        <f t="shared" si="11"/>
        <v>#REF!</v>
      </c>
      <c r="AA121" s="141" t="e">
        <f ca="1">COUNTIFS(#REF!,CONCATENATE("&lt;",TEXT(1+OFFSET(Z121,0,0),"0")),#REF!,CONCATENATE("&gt;=", TEXT(OFFSET(Z120,0,0),"0")))</f>
        <v>#REF!</v>
      </c>
      <c r="AB121" s="141" t="e">
        <f ca="1">COUNTIFS(#REF!,CONCATENATE("&lt;",TEXT(1+OFFSET(Z121,0,0),"0")),#REF!,CONCATENATE("&gt;=", TEXT(OFFSET(Z120,0,0),"0")))</f>
        <v>#REF!</v>
      </c>
      <c r="AC121" s="141" t="e">
        <f t="shared" ca="1" si="15"/>
        <v>#REF!</v>
      </c>
      <c r="AD121" s="183"/>
      <c r="AE121" s="184">
        <f t="shared" si="12"/>
        <v>8.5623531884968032E-3</v>
      </c>
      <c r="AF121" s="187">
        <f ca="1">COUNTIFS(aux!AJ5:AJ132,CONCATENATE("&lt;=",TEXT(OFFSET(AE121,0,0),"0,0000")),aux!AJ5:AJ132,CONCATENATE("&gt;", TEXT(OFFSET(AE120,0,0),"0,0000")))</f>
        <v>17</v>
      </c>
      <c r="AG121" s="141" t="str">
        <f t="shared" ca="1" si="13"/>
        <v>0,0079 - 0,0086</v>
      </c>
      <c r="AI121" s="141" t="e">
        <f>MID(#REF!,5,LEN(#REF!)-4)</f>
        <v>#REF!</v>
      </c>
      <c r="AJ121" s="141" t="e">
        <f>#REF!</f>
        <v>#REF!</v>
      </c>
      <c r="AK121" s="141" t="e">
        <f>_xlfn.RANK.EQ(#REF!,#REF!)</f>
        <v>#REF!</v>
      </c>
      <c r="AL121" s="142" t="e">
        <f>#REF!</f>
        <v>#REF!</v>
      </c>
      <c r="AM121" s="185" t="e">
        <f>_xlfn.RANK.EQ(#REF!,#REF!)</f>
        <v>#REF!</v>
      </c>
      <c r="AN121" s="142">
        <v>856496.8138318524</v>
      </c>
      <c r="AO121" s="141" t="e">
        <f>_xlfn.RANK.EQ(#REF!,#REF!)</f>
        <v>#REF!</v>
      </c>
      <c r="AP121" s="141">
        <v>17</v>
      </c>
      <c r="AQ121" s="142" t="e">
        <f>#REF!</f>
        <v>#REF!</v>
      </c>
      <c r="AR121" s="141">
        <v>7</v>
      </c>
      <c r="AS121" s="141" t="e">
        <f t="shared" si="0"/>
        <v>#N/A</v>
      </c>
      <c r="AT121" s="142" t="e">
        <f t="shared" si="1"/>
        <v>#N/A</v>
      </c>
      <c r="AU121" s="141" t="e">
        <f t="shared" si="2"/>
        <v>#N/A</v>
      </c>
      <c r="AV121" s="142" t="e">
        <f t="shared" si="3"/>
        <v>#N/A</v>
      </c>
      <c r="AW121" s="142" t="e">
        <f t="shared" si="4"/>
        <v>#N/A</v>
      </c>
      <c r="AY121" s="141" t="e">
        <f t="shared" si="5"/>
        <v>#REF!</v>
      </c>
      <c r="AZ121" s="142" t="e">
        <f t="shared" si="6"/>
        <v>#REF!</v>
      </c>
      <c r="BA121" s="142">
        <f t="shared" si="7"/>
        <v>1884292.9904300752</v>
      </c>
      <c r="BB121" s="142" t="e">
        <f t="shared" si="8"/>
        <v>#REF!</v>
      </c>
      <c r="BC121" s="141" t="e">
        <f t="shared" si="9"/>
        <v>#REF!</v>
      </c>
      <c r="BE121" s="12"/>
      <c r="BF121" s="12"/>
    </row>
    <row r="122" spans="1:58" s="141" customFormat="1">
      <c r="A122" s="180" t="e">
        <f t="shared" ref="A122:D124" si="17">A116-A115</f>
        <v>#REF!</v>
      </c>
      <c r="B122" s="177" t="e">
        <f t="shared" si="17"/>
        <v>#REF!</v>
      </c>
      <c r="C122" s="177" t="e">
        <f t="shared" si="17"/>
        <v>#REF!</v>
      </c>
      <c r="D122" s="179" t="e">
        <f t="shared" si="17"/>
        <v>#REF!</v>
      </c>
      <c r="E122" s="177" t="e">
        <f t="shared" ref="E122:R122" si="18">E116-E115</f>
        <v>#REF!</v>
      </c>
      <c r="F122" s="177" t="e">
        <f t="shared" si="18"/>
        <v>#REF!</v>
      </c>
      <c r="G122" s="176" t="e">
        <f t="shared" si="18"/>
        <v>#REF!</v>
      </c>
      <c r="H122" s="176" t="e">
        <f t="shared" si="18"/>
        <v>#REF!</v>
      </c>
      <c r="I122" s="143" t="e">
        <f t="shared" si="18"/>
        <v>#REF!</v>
      </c>
      <c r="J122" s="180" t="e">
        <f t="shared" si="18"/>
        <v>#REF!</v>
      </c>
      <c r="K122" s="180" t="e">
        <f t="shared" si="18"/>
        <v>#REF!</v>
      </c>
      <c r="L122" s="180" t="e">
        <f t="shared" si="18"/>
        <v>#REF!</v>
      </c>
      <c r="M122" s="180" t="e">
        <f t="shared" si="18"/>
        <v>#REF!</v>
      </c>
      <c r="N122" s="176" t="e">
        <f t="shared" si="18"/>
        <v>#REF!</v>
      </c>
      <c r="O122" s="179" t="e">
        <f t="shared" ref="O122:P125" si="19">O116-O115</f>
        <v>#REF!</v>
      </c>
      <c r="P122" s="179" t="e">
        <f t="shared" si="19"/>
        <v>#REF!</v>
      </c>
      <c r="Q122" s="181" t="e">
        <f t="shared" si="18"/>
        <v>#REF!</v>
      </c>
      <c r="R122" s="180" t="e">
        <f t="shared" si="18"/>
        <v>#REF!</v>
      </c>
      <c r="S122" s="181" t="e">
        <f>S116-S115</f>
        <v>#REF!</v>
      </c>
      <c r="U122" s="186" t="e">
        <f t="shared" si="10"/>
        <v>#REF!</v>
      </c>
      <c r="V122" s="141" t="e">
        <f ca="1">COUNTIFS(#REF!,CONCATENATE("&lt;",TEXT(1+OFFSET(U122,0,0),"0")),#REF!,CONCATENATE("&gt;=", TEXT(OFFSET(U121,0,0),"0")))</f>
        <v>#REF!</v>
      </c>
      <c r="W122" s="141" t="e">
        <f t="shared" ca="1" si="14"/>
        <v>#REF!</v>
      </c>
      <c r="Z122" s="186" t="e">
        <f t="shared" si="11"/>
        <v>#REF!</v>
      </c>
      <c r="AA122" s="141" t="e">
        <f ca="1">COUNTIFS(#REF!,CONCATENATE("&lt;",TEXT(1+OFFSET(Z122,0,0),"0")),#REF!,CONCATENATE("&gt;=", TEXT(OFFSET(Z121,0,0),"0")))</f>
        <v>#REF!</v>
      </c>
      <c r="AB122" s="141" t="e">
        <f ca="1">COUNTIFS(#REF!,CONCATENATE("&lt;",TEXT(1+OFFSET(Z122,0,0),"0")),#REF!,CONCATENATE("&gt;=", TEXT(OFFSET(Z121,0,0),"0")))</f>
        <v>#REF!</v>
      </c>
      <c r="AC122" s="141" t="e">
        <f t="shared" ca="1" si="15"/>
        <v>#REF!</v>
      </c>
      <c r="AD122" s="183"/>
      <c r="AE122" s="184">
        <f t="shared" si="12"/>
        <v>9.213717673204995E-3</v>
      </c>
      <c r="AF122" s="187">
        <f ca="1">COUNTIFS(aux!AJ5:AJ132,CONCATENATE("&lt;=",TEXT(OFFSET(AE122,0,0),"0,0000")),aux!AJ5:AJ132,CONCATENATE("&gt;", TEXT(OFFSET(AE121,0,0),"0,0000")))</f>
        <v>9</v>
      </c>
      <c r="AG122" s="141" t="str">
        <f t="shared" ca="1" si="13"/>
        <v>0,0086 - 0,0092</v>
      </c>
      <c r="AI122" s="141" t="e">
        <f>MID(#REF!,5,LEN(#REF!)-4)</f>
        <v>#REF!</v>
      </c>
      <c r="AJ122" s="141" t="e">
        <f>#REF!</f>
        <v>#REF!</v>
      </c>
      <c r="AK122" s="141" t="e">
        <f>_xlfn.RANK.EQ(#REF!,#REF!)</f>
        <v>#REF!</v>
      </c>
      <c r="AL122" s="142" t="e">
        <f>#REF!</f>
        <v>#REF!</v>
      </c>
      <c r="AM122" s="185" t="e">
        <f>_xlfn.RANK.EQ(#REF!,#REF!)</f>
        <v>#REF!</v>
      </c>
      <c r="AN122" s="142">
        <v>1096315.9217047712</v>
      </c>
      <c r="AO122" s="141" t="e">
        <f>_xlfn.RANK.EQ(#REF!,#REF!)</f>
        <v>#REF!</v>
      </c>
      <c r="AP122" s="141">
        <v>16</v>
      </c>
      <c r="AQ122" s="142" t="e">
        <f>#REF!</f>
        <v>#REF!</v>
      </c>
      <c r="AR122" s="141">
        <v>8</v>
      </c>
      <c r="AS122" s="141" t="e">
        <f t="shared" si="0"/>
        <v>#N/A</v>
      </c>
      <c r="AT122" s="142" t="e">
        <f t="shared" si="1"/>
        <v>#N/A</v>
      </c>
      <c r="AU122" s="141" t="e">
        <f t="shared" si="2"/>
        <v>#N/A</v>
      </c>
      <c r="AV122" s="142" t="e">
        <f t="shared" si="3"/>
        <v>#N/A</v>
      </c>
      <c r="AW122" s="142" t="e">
        <f t="shared" si="4"/>
        <v>#N/A</v>
      </c>
      <c r="AY122" s="141" t="e">
        <f t="shared" si="5"/>
        <v>#REF!</v>
      </c>
      <c r="AZ122" s="142" t="e">
        <f t="shared" si="6"/>
        <v>#REF!</v>
      </c>
      <c r="BA122" s="142">
        <f t="shared" si="7"/>
        <v>1627343.9462805197</v>
      </c>
      <c r="BB122" s="142" t="e">
        <f t="shared" si="8"/>
        <v>#REF!</v>
      </c>
      <c r="BC122" s="141" t="e">
        <f t="shared" si="9"/>
        <v>#REF!</v>
      </c>
      <c r="BE122" s="12"/>
      <c r="BF122" s="12"/>
    </row>
    <row r="123" spans="1:58" s="141" customFormat="1">
      <c r="A123" s="180" t="e">
        <f t="shared" si="17"/>
        <v>#REF!</v>
      </c>
      <c r="B123" s="177" t="e">
        <f t="shared" si="17"/>
        <v>#REF!</v>
      </c>
      <c r="C123" s="177" t="e">
        <f t="shared" si="17"/>
        <v>#REF!</v>
      </c>
      <c r="D123" s="179" t="e">
        <f t="shared" si="17"/>
        <v>#REF!</v>
      </c>
      <c r="E123" s="177" t="e">
        <f t="shared" ref="E123:R123" si="20">E117-E116</f>
        <v>#REF!</v>
      </c>
      <c r="F123" s="177" t="e">
        <f t="shared" si="20"/>
        <v>#REF!</v>
      </c>
      <c r="G123" s="176" t="e">
        <f t="shared" si="20"/>
        <v>#REF!</v>
      </c>
      <c r="H123" s="176" t="e">
        <f t="shared" si="20"/>
        <v>#REF!</v>
      </c>
      <c r="I123" s="143" t="e">
        <f t="shared" si="20"/>
        <v>#REF!</v>
      </c>
      <c r="J123" s="180" t="e">
        <f t="shared" si="20"/>
        <v>#REF!</v>
      </c>
      <c r="K123" s="180" t="e">
        <f t="shared" si="20"/>
        <v>#REF!</v>
      </c>
      <c r="L123" s="180" t="e">
        <f t="shared" si="20"/>
        <v>#REF!</v>
      </c>
      <c r="M123" s="180" t="e">
        <f t="shared" si="20"/>
        <v>#REF!</v>
      </c>
      <c r="N123" s="176" t="e">
        <f t="shared" si="20"/>
        <v>#REF!</v>
      </c>
      <c r="O123" s="179" t="e">
        <f t="shared" si="19"/>
        <v>#REF!</v>
      </c>
      <c r="P123" s="179" t="e">
        <f t="shared" si="19"/>
        <v>#REF!</v>
      </c>
      <c r="Q123" s="181" t="e">
        <f t="shared" si="20"/>
        <v>#REF!</v>
      </c>
      <c r="R123" s="180" t="e">
        <f t="shared" si="20"/>
        <v>#REF!</v>
      </c>
      <c r="S123" s="181" t="e">
        <f>S117-S116</f>
        <v>#REF!</v>
      </c>
      <c r="U123" s="186" t="e">
        <f t="shared" si="10"/>
        <v>#REF!</v>
      </c>
      <c r="V123" s="141" t="e">
        <f ca="1">COUNTIFS(#REF!,CONCATENATE("&lt;",TEXT(1+OFFSET(U123,0,0),"0")),#REF!,CONCATENATE("&gt;=", TEXT(OFFSET(U122,0,0),"0")))</f>
        <v>#REF!</v>
      </c>
      <c r="W123" s="141" t="e">
        <f ca="1">CONCATENATE( TEXT(OFFSET(U122,0,0)+1,"#.##0€")," - ",TEXT(OFFSET(U123,0,0),"#.##0€"))</f>
        <v>#REF!</v>
      </c>
      <c r="Z123" s="186" t="e">
        <f t="shared" si="11"/>
        <v>#REF!</v>
      </c>
      <c r="AA123" s="141" t="e">
        <f ca="1">COUNTIFS(#REF!,CONCATENATE("&lt;",TEXT(1+OFFSET(Z123,0,0),"0")),#REF!,CONCATENATE("&gt;=", TEXT(OFFSET(Z122,0,0),"0")))</f>
        <v>#REF!</v>
      </c>
      <c r="AB123" s="141" t="e">
        <f ca="1">COUNTIFS(#REF!,CONCATENATE("&lt;",TEXT(1+OFFSET(Z123,0,0),"0")),#REF!,CONCATENATE("&gt;=", TEXT(OFFSET(Z122,0,0),"0")))</f>
        <v>#REF!</v>
      </c>
      <c r="AC123" s="141" t="e">
        <f ca="1">CONCATENATE( TEXT(OFFSET(Z122,0,0)+1,"#.##0€")," - ",TEXT(OFFSET(Z123,0,0),"#.##0€"))</f>
        <v>#REF!</v>
      </c>
      <c r="AD123" s="183"/>
      <c r="AE123" s="184">
        <f t="shared" si="12"/>
        <v>9.8650821579131867E-3</v>
      </c>
      <c r="AF123" s="187">
        <f ca="1">COUNTIFS(aux!AJ5:AJ132,CONCATENATE("&lt;=",TEXT(OFFSET(AE123,0,0),"0,0000")),aux!AJ5:AJ132,CONCATENATE("&gt;", TEXT(OFFSET(AE122,0,0),"0,0000")))</f>
        <v>11</v>
      </c>
      <c r="AG123" s="141" t="str">
        <f ca="1">CONCATENATE( TEXT(OFFSET(AE122,0,0),"0,####")," - ",TEXT(OFFSET(AE123,0,0),"0,####"))</f>
        <v>0,0092 - 0,0099</v>
      </c>
      <c r="AI123" s="141" t="e">
        <f>MID(#REF!,5,LEN(#REF!)-4)</f>
        <v>#REF!</v>
      </c>
      <c r="AJ123" s="141" t="e">
        <f>#REF!</f>
        <v>#REF!</v>
      </c>
      <c r="AK123" s="141" t="e">
        <f>_xlfn.RANK.EQ(#REF!,#REF!)</f>
        <v>#REF!</v>
      </c>
      <c r="AL123" s="142" t="e">
        <f>#REF!</f>
        <v>#REF!</v>
      </c>
      <c r="AM123" s="185" t="e">
        <f>_xlfn.RANK.EQ(#REF!,#REF!)</f>
        <v>#REF!</v>
      </c>
      <c r="AN123" s="142">
        <v>1018203.4122833062</v>
      </c>
      <c r="AO123" s="141" t="e">
        <f>_xlfn.RANK.EQ(#REF!,#REF!)</f>
        <v>#REF!</v>
      </c>
      <c r="AP123" s="141">
        <v>19</v>
      </c>
      <c r="AQ123" s="142" t="e">
        <f>#REF!</f>
        <v>#REF!</v>
      </c>
      <c r="AR123" s="141">
        <v>9</v>
      </c>
      <c r="AS123" s="141" t="e">
        <f t="shared" si="0"/>
        <v>#N/A</v>
      </c>
      <c r="AT123" s="142" t="e">
        <f t="shared" si="1"/>
        <v>#N/A</v>
      </c>
      <c r="AU123" s="141" t="e">
        <f t="shared" si="2"/>
        <v>#N/A</v>
      </c>
      <c r="AV123" s="142" t="e">
        <f t="shared" si="3"/>
        <v>#N/A</v>
      </c>
      <c r="AW123" s="142" t="e">
        <f t="shared" si="4"/>
        <v>#N/A</v>
      </c>
      <c r="AY123" s="141" t="e">
        <f t="shared" si="5"/>
        <v>#REF!</v>
      </c>
      <c r="AZ123" s="142" t="e">
        <f t="shared" si="6"/>
        <v>#REF!</v>
      </c>
      <c r="BA123" s="142">
        <f t="shared" si="7"/>
        <v>1519082.7490121739</v>
      </c>
      <c r="BB123" s="142" t="e">
        <f t="shared" si="8"/>
        <v>#REF!</v>
      </c>
      <c r="BC123" s="141" t="e">
        <f t="shared" si="9"/>
        <v>#REF!</v>
      </c>
    </row>
    <row r="124" spans="1:58" s="141" customFormat="1">
      <c r="A124" s="180" t="e">
        <f t="shared" si="17"/>
        <v>#REF!</v>
      </c>
      <c r="B124" s="177" t="e">
        <f t="shared" si="17"/>
        <v>#REF!</v>
      </c>
      <c r="C124" s="177" t="e">
        <f t="shared" si="17"/>
        <v>#REF!</v>
      </c>
      <c r="D124" s="179" t="e">
        <f t="shared" si="17"/>
        <v>#REF!</v>
      </c>
      <c r="E124" s="177" t="e">
        <f t="shared" ref="E124:R124" si="21">E118-E117</f>
        <v>#REF!</v>
      </c>
      <c r="F124" s="177" t="e">
        <f t="shared" si="21"/>
        <v>#REF!</v>
      </c>
      <c r="G124" s="176" t="e">
        <f t="shared" si="21"/>
        <v>#REF!</v>
      </c>
      <c r="H124" s="176" t="e">
        <f t="shared" si="21"/>
        <v>#REF!</v>
      </c>
      <c r="I124" s="143" t="e">
        <f t="shared" si="21"/>
        <v>#REF!</v>
      </c>
      <c r="J124" s="180" t="e">
        <f t="shared" si="21"/>
        <v>#REF!</v>
      </c>
      <c r="K124" s="180" t="e">
        <f t="shared" si="21"/>
        <v>#REF!</v>
      </c>
      <c r="L124" s="180" t="e">
        <f t="shared" si="21"/>
        <v>#REF!</v>
      </c>
      <c r="M124" s="180" t="e">
        <f t="shared" si="21"/>
        <v>#REF!</v>
      </c>
      <c r="N124" s="176" t="e">
        <f t="shared" si="21"/>
        <v>#REF!</v>
      </c>
      <c r="O124" s="179" t="e">
        <f t="shared" si="19"/>
        <v>#REF!</v>
      </c>
      <c r="P124" s="179" t="e">
        <f t="shared" si="19"/>
        <v>#REF!</v>
      </c>
      <c r="Q124" s="181" t="e">
        <f t="shared" si="21"/>
        <v>#REF!</v>
      </c>
      <c r="R124" s="180" t="e">
        <f t="shared" si="21"/>
        <v>#REF!</v>
      </c>
      <c r="S124" s="181" t="e">
        <f>S118-S117</f>
        <v>#REF!</v>
      </c>
      <c r="U124" s="186" t="e">
        <f t="shared" si="10"/>
        <v>#REF!</v>
      </c>
      <c r="V124" s="141" t="e">
        <f ca="1">COUNTIFS(#REF!,CONCATENATE("&lt;",TEXT(1+OFFSET(U124,0,0),"0")),#REF!,CONCATENATE("&gt;=", TEXT(OFFSET(U123,0,0),"0")))</f>
        <v>#REF!</v>
      </c>
      <c r="W124" s="141" t="e">
        <f t="shared" ca="1" si="14"/>
        <v>#REF!</v>
      </c>
      <c r="Z124" s="186" t="e">
        <f t="shared" si="11"/>
        <v>#REF!</v>
      </c>
      <c r="AA124" s="141" t="e">
        <f ca="1">COUNTIFS(#REF!,CONCATENATE("&lt;",TEXT(1+OFFSET(Z124,0,0),"0")),#REF!,CONCATENATE("&gt;=", TEXT(OFFSET(Z123,0,0),"0")))</f>
        <v>#REF!</v>
      </c>
      <c r="AB124" s="141" t="e">
        <f ca="1">COUNTIFS(#REF!,CONCATENATE("&lt;",TEXT(1+OFFSET(Z124,0,0),"0")),#REF!,CONCATENATE("&gt;=", TEXT(OFFSET(Z123,0,0),"0")))</f>
        <v>#REF!</v>
      </c>
      <c r="AC124" s="141" t="e">
        <f t="shared" ca="1" si="15"/>
        <v>#REF!</v>
      </c>
      <c r="AD124" s="183"/>
      <c r="AE124" s="184">
        <f t="shared" si="12"/>
        <v>1.0516446642621378E-2</v>
      </c>
      <c r="AF124" s="187">
        <f ca="1">COUNTIFS(aux!AJ5:AJ132,CONCATENATE("&lt;=",TEXT(OFFSET(AE124,0,0),"0,0000")),aux!AJ5:AJ132,CONCATENATE("&gt;", TEXT(OFFSET(AE123,0,0),"0,0000")))</f>
        <v>9</v>
      </c>
      <c r="AG124" s="141" t="str">
        <f t="shared" ca="1" si="13"/>
        <v>0,0099 - 0,0105</v>
      </c>
      <c r="AI124" s="141" t="e">
        <f>MID(#REF!,5,LEN(#REF!)-4)</f>
        <v>#REF!</v>
      </c>
      <c r="AJ124" s="141" t="e">
        <f>#REF!</f>
        <v>#REF!</v>
      </c>
      <c r="AK124" s="141" t="e">
        <f>_xlfn.RANK.EQ(#REF!,#REF!)</f>
        <v>#REF!</v>
      </c>
      <c r="AL124" s="142" t="e">
        <f>#REF!</f>
        <v>#REF!</v>
      </c>
      <c r="AM124" s="185" t="e">
        <f>_xlfn.RANK.EQ(#REF!,#REF!)</f>
        <v>#REF!</v>
      </c>
      <c r="AN124" s="142">
        <v>1850033.1178768014</v>
      </c>
      <c r="AO124" s="141" t="e">
        <f>_xlfn.RANK.EQ(#REF!,#REF!)</f>
        <v>#REF!</v>
      </c>
      <c r="AP124" s="141">
        <v>5</v>
      </c>
      <c r="AQ124" s="142" t="e">
        <f>#REF!</f>
        <v>#REF!</v>
      </c>
      <c r="AR124" s="141">
        <v>10</v>
      </c>
      <c r="AS124" s="141" t="e">
        <f t="shared" si="0"/>
        <v>#N/A</v>
      </c>
      <c r="AT124" s="142" t="e">
        <f t="shared" si="1"/>
        <v>#N/A</v>
      </c>
      <c r="AU124" s="141" t="e">
        <f t="shared" si="2"/>
        <v>#N/A</v>
      </c>
      <c r="AV124" s="142" t="e">
        <f t="shared" si="3"/>
        <v>#N/A</v>
      </c>
      <c r="AW124" s="142" t="e">
        <f t="shared" si="4"/>
        <v>#N/A</v>
      </c>
      <c r="AY124" s="141" t="e">
        <f t="shared" si="5"/>
        <v>#REF!</v>
      </c>
      <c r="AZ124" s="142" t="e">
        <f t="shared" si="6"/>
        <v>#REF!</v>
      </c>
      <c r="BA124" s="142">
        <f t="shared" si="7"/>
        <v>1495786.0356759471</v>
      </c>
      <c r="BB124" s="142" t="e">
        <f t="shared" si="8"/>
        <v>#REF!</v>
      </c>
      <c r="BC124" s="141" t="e">
        <f t="shared" si="9"/>
        <v>#REF!</v>
      </c>
    </row>
    <row r="125" spans="1:58" s="141" customFormat="1">
      <c r="A125" s="180" t="e">
        <f t="shared" ref="A125:I125" si="22">A119-A118</f>
        <v>#REF!</v>
      </c>
      <c r="B125" s="177" t="e">
        <f t="shared" si="22"/>
        <v>#REF!</v>
      </c>
      <c r="C125" s="177" t="e">
        <f>C119-C118</f>
        <v>#REF!</v>
      </c>
      <c r="D125" s="179" t="e">
        <f>D119-D118</f>
        <v>#REF!</v>
      </c>
      <c r="E125" s="177" t="e">
        <f>E119-E118</f>
        <v>#REF!</v>
      </c>
      <c r="F125" s="177" t="e">
        <f>F119-F118</f>
        <v>#REF!</v>
      </c>
      <c r="G125" s="176" t="e">
        <f t="shared" si="22"/>
        <v>#REF!</v>
      </c>
      <c r="H125" s="176" t="e">
        <f t="shared" si="22"/>
        <v>#REF!</v>
      </c>
      <c r="I125" s="143" t="e">
        <f t="shared" si="22"/>
        <v>#REF!</v>
      </c>
      <c r="J125" s="180" t="e">
        <f>J119-J118</f>
        <v>#REF!</v>
      </c>
      <c r="K125" s="180" t="e">
        <f>K119-K118</f>
        <v>#REF!</v>
      </c>
      <c r="L125" s="180" t="e">
        <f>L119-L118</f>
        <v>#REF!</v>
      </c>
      <c r="M125" s="180" t="e">
        <f>M119-M118</f>
        <v>#REF!</v>
      </c>
      <c r="N125" s="176" t="e">
        <f>N119-N118</f>
        <v>#REF!</v>
      </c>
      <c r="O125" s="179" t="e">
        <f t="shared" si="19"/>
        <v>#REF!</v>
      </c>
      <c r="P125" s="179" t="e">
        <f t="shared" si="19"/>
        <v>#REF!</v>
      </c>
      <c r="Q125" s="181" t="e">
        <f>Q119-Q118</f>
        <v>#REF!</v>
      </c>
      <c r="R125" s="180" t="e">
        <f>R119-R118</f>
        <v>#REF!</v>
      </c>
      <c r="S125" s="181" t="e">
        <f>S119-S118</f>
        <v>#REF!</v>
      </c>
      <c r="U125" s="186" t="e">
        <f t="shared" si="10"/>
        <v>#REF!</v>
      </c>
      <c r="V125" s="141" t="e">
        <f ca="1">COUNTIFS(#REF!,CONCATENATE("&lt;",TEXT(1+OFFSET(U125,0,0),"0")),#REF!,CONCATENATE("&gt;=", TEXT(OFFSET(U124,0,0),"0")))</f>
        <v>#REF!</v>
      </c>
      <c r="W125" s="141" t="e">
        <f t="shared" ca="1" si="14"/>
        <v>#REF!</v>
      </c>
      <c r="Z125" s="186" t="e">
        <f t="shared" si="11"/>
        <v>#REF!</v>
      </c>
      <c r="AA125" s="141" t="e">
        <f ca="1">COUNTIFS(#REF!,CONCATENATE("&lt;",TEXT(1+OFFSET(Z125,0,0),"0")),#REF!,CONCATENATE("&gt;=", TEXT(OFFSET(Z124,0,0),"0")))</f>
        <v>#REF!</v>
      </c>
      <c r="AB125" s="141" t="e">
        <f ca="1">COUNTIFS(#REF!,CONCATENATE("&lt;",TEXT(1+OFFSET(Z125,0,0),"0")),#REF!,CONCATENATE("&gt;=", TEXT(OFFSET(Z124,0,0),"0")))</f>
        <v>#REF!</v>
      </c>
      <c r="AC125" s="141" t="e">
        <f t="shared" ca="1" si="15"/>
        <v>#REF!</v>
      </c>
      <c r="AD125" s="183"/>
      <c r="AE125" s="184">
        <f t="shared" si="12"/>
        <v>1.116781112732957E-2</v>
      </c>
      <c r="AF125" s="187">
        <f ca="1">COUNTIFS(aux!AJ5:AJ132,CONCATENATE("&lt;=",TEXT(OFFSET(AE125,0,0),"0,0000")),aux!AJ5:AJ132,CONCATENATE("&gt;", TEXT(OFFSET(AE124,0,0),"0,0000")))</f>
        <v>4</v>
      </c>
      <c r="AG125" s="141" t="str">
        <f t="shared" ca="1" si="13"/>
        <v>0,0105 - 0,0112</v>
      </c>
      <c r="AI125" s="141" t="e">
        <f>MID(#REF!,5,LEN(#REF!)-4)</f>
        <v>#REF!</v>
      </c>
      <c r="AJ125" s="141" t="e">
        <f>#REF!</f>
        <v>#REF!</v>
      </c>
      <c r="AK125" s="141" t="e">
        <f>_xlfn.RANK.EQ(#REF!,#REF!)</f>
        <v>#REF!</v>
      </c>
      <c r="AL125" s="142" t="e">
        <f>#REF!</f>
        <v>#REF!</v>
      </c>
      <c r="AM125" s="185" t="e">
        <f>_xlfn.RANK.EQ(#REF!,#REF!)</f>
        <v>#REF!</v>
      </c>
      <c r="AN125" s="142">
        <v>2124112.0983029944</v>
      </c>
      <c r="AO125" s="141" t="e">
        <f>_xlfn.RANK.EQ(#REF!,#REF!)</f>
        <v>#REF!</v>
      </c>
      <c r="AP125" s="141">
        <v>4</v>
      </c>
      <c r="AQ125" s="142" t="e">
        <f>#REF!</f>
        <v>#REF!</v>
      </c>
      <c r="AR125" s="141">
        <v>11</v>
      </c>
      <c r="AS125" s="141" t="e">
        <f t="shared" si="0"/>
        <v>#N/A</v>
      </c>
      <c r="AT125" s="142" t="e">
        <f t="shared" si="1"/>
        <v>#N/A</v>
      </c>
      <c r="AU125" s="141" t="e">
        <f t="shared" si="2"/>
        <v>#N/A</v>
      </c>
      <c r="AV125" s="142" t="e">
        <f t="shared" si="3"/>
        <v>#N/A</v>
      </c>
      <c r="AW125" s="142" t="e">
        <f t="shared" si="4"/>
        <v>#N/A</v>
      </c>
      <c r="AY125" s="141" t="e">
        <f t="shared" si="5"/>
        <v>#REF!</v>
      </c>
      <c r="AZ125" s="142" t="e">
        <f t="shared" si="6"/>
        <v>#REF!</v>
      </c>
      <c r="BA125" s="142">
        <f t="shared" si="7"/>
        <v>1519082.7490121739</v>
      </c>
      <c r="BB125" s="142" t="e">
        <f t="shared" si="8"/>
        <v>#REF!</v>
      </c>
      <c r="BC125" s="141" t="e">
        <f t="shared" si="9"/>
        <v>#REF!</v>
      </c>
    </row>
    <row r="126" spans="1:58" s="141" customFormat="1">
      <c r="A126" s="176"/>
      <c r="B126" s="177"/>
      <c r="C126" s="177"/>
      <c r="D126" s="177"/>
      <c r="E126" s="177"/>
      <c r="F126" s="177"/>
      <c r="G126" s="176"/>
      <c r="H126" s="176"/>
      <c r="I126" s="143"/>
      <c r="J126" s="143"/>
      <c r="K126" s="143"/>
      <c r="L126" s="143"/>
      <c r="M126" s="143"/>
      <c r="N126" s="12"/>
      <c r="O126" s="12"/>
      <c r="P126" s="12"/>
      <c r="Q126" s="176"/>
      <c r="R126" s="180"/>
      <c r="S126" s="180"/>
      <c r="U126" s="186" t="e">
        <f t="shared" si="10"/>
        <v>#REF!</v>
      </c>
      <c r="V126" s="141" t="e">
        <f ca="1">COUNTIF(#REF!,CONCATENATE("&gt;=", TEXT(OFFSET(U125,0,0),"0")))</f>
        <v>#REF!</v>
      </c>
      <c r="W126" s="141" t="e">
        <f ca="1">CONCATENATE( TEXT(OFFSET(U125,0,0)+1,"#.##0€")," - ",TEXT(OFFSET(U126,0,0),"#.##0€"))</f>
        <v>#REF!</v>
      </c>
      <c r="Z126" s="186" t="e">
        <f t="shared" si="11"/>
        <v>#REF!</v>
      </c>
      <c r="AA126" s="141" t="e">
        <f ca="1">COUNTIF(#REF!,CONCATENATE("&gt;=", TEXT(OFFSET(Z125,0,0),"0")))</f>
        <v>#REF!</v>
      </c>
      <c r="AB126" s="141" t="e">
        <f ca="1">COUNTIF(#REF!,CONCATENATE("&gt;=", TEXT(OFFSET(Z125,0,0),"0")))</f>
        <v>#REF!</v>
      </c>
      <c r="AC126" s="141" t="e">
        <f ca="1">CONCATENATE( TEXT(OFFSET(Z125,0,0)+1,"#.##0€")," - ",TEXT(OFFSET(Z126,0,0),"#.##0€"))</f>
        <v>#REF!</v>
      </c>
      <c r="AD126" s="183"/>
      <c r="AE126" s="184">
        <f t="shared" si="12"/>
        <v>1.1819175612037762E-2</v>
      </c>
      <c r="AF126" s="187">
        <f ca="1">COUNTIF(aux!AJ5:AJ132,CONCATENATE("&gt;", TEXT(OFFSET(AE125,0,0),"0,0000")))</f>
        <v>3</v>
      </c>
      <c r="AG126" s="141" t="str">
        <f ca="1">CONCATENATE( TEXT(OFFSET(AE125,0,0),"0,####")," - ",TEXT(OFFSET(AE126,0,0),"0,####"))</f>
        <v>0,0112 - 0,0118</v>
      </c>
      <c r="AI126" s="141" t="e">
        <f>MID(#REF!,5,LEN(#REF!)-4)</f>
        <v>#REF!</v>
      </c>
      <c r="AJ126" s="141" t="e">
        <f>#REF!</f>
        <v>#REF!</v>
      </c>
      <c r="AK126" s="141" t="e">
        <f>_xlfn.RANK.EQ(#REF!,#REF!)</f>
        <v>#REF!</v>
      </c>
      <c r="AL126" s="142" t="e">
        <f>#REF!</f>
        <v>#REF!</v>
      </c>
      <c r="AM126" s="185" t="e">
        <f>_xlfn.RANK.EQ(#REF!,#REF!)</f>
        <v>#REF!</v>
      </c>
      <c r="AN126" s="142">
        <v>1967201.8820089989</v>
      </c>
      <c r="AO126" s="141" t="e">
        <f>_xlfn.RANK.EQ(#REF!,#REF!)</f>
        <v>#REF!</v>
      </c>
      <c r="AP126" s="141">
        <v>3</v>
      </c>
      <c r="AQ126" s="142" t="e">
        <f>#REF!</f>
        <v>#REF!</v>
      </c>
      <c r="AR126" s="141">
        <v>12</v>
      </c>
      <c r="AS126" s="141" t="e">
        <f t="shared" si="0"/>
        <v>#N/A</v>
      </c>
      <c r="AT126" s="142" t="e">
        <f t="shared" si="1"/>
        <v>#N/A</v>
      </c>
      <c r="AU126" s="141" t="e">
        <f t="shared" si="2"/>
        <v>#N/A</v>
      </c>
      <c r="AV126" s="142" t="e">
        <f t="shared" si="3"/>
        <v>#N/A</v>
      </c>
      <c r="AW126" s="142" t="e">
        <f t="shared" si="4"/>
        <v>#N/A</v>
      </c>
      <c r="AY126" s="141" t="e">
        <f t="shared" si="5"/>
        <v>#REF!</v>
      </c>
      <c r="AZ126" s="142" t="e">
        <f t="shared" si="6"/>
        <v>#REF!</v>
      </c>
      <c r="BA126" s="142">
        <f t="shared" si="7"/>
        <v>1248429.755841308</v>
      </c>
      <c r="BB126" s="142" t="e">
        <f t="shared" si="8"/>
        <v>#REF!</v>
      </c>
      <c r="BC126" s="141" t="e">
        <f t="shared" si="9"/>
        <v>#REF!</v>
      </c>
    </row>
    <row r="127" spans="1:58" s="141" customFormat="1">
      <c r="E127" s="142"/>
      <c r="F127" s="142"/>
      <c r="H127" s="188"/>
      <c r="AI127" s="141" t="e">
        <f>MID(#REF!,5,LEN(#REF!)-4)</f>
        <v>#REF!</v>
      </c>
      <c r="AJ127" s="141" t="e">
        <f>#REF!</f>
        <v>#REF!</v>
      </c>
      <c r="AK127" s="141" t="e">
        <f>_xlfn.RANK.EQ(#REF!,#REF!)</f>
        <v>#REF!</v>
      </c>
      <c r="AL127" s="142" t="e">
        <f>#REF!</f>
        <v>#REF!</v>
      </c>
      <c r="AM127" s="185" t="e">
        <f>_xlfn.RANK.EQ(#REF!,#REF!)</f>
        <v>#REF!</v>
      </c>
      <c r="AN127" s="142">
        <v>2192631.8434095425</v>
      </c>
      <c r="AO127" s="141" t="e">
        <f>_xlfn.RANK.EQ(#REF!,#REF!)</f>
        <v>#REF!</v>
      </c>
      <c r="AP127" s="141">
        <v>1</v>
      </c>
      <c r="AQ127" s="142" t="e">
        <f>#REF!</f>
        <v>#REF!</v>
      </c>
      <c r="AR127" s="141">
        <v>13</v>
      </c>
      <c r="AS127" s="141" t="e">
        <f t="shared" si="0"/>
        <v>#N/A</v>
      </c>
      <c r="AT127" s="142" t="e">
        <f t="shared" si="1"/>
        <v>#N/A</v>
      </c>
      <c r="AU127" s="141" t="e">
        <f t="shared" si="2"/>
        <v>#N/A</v>
      </c>
      <c r="AV127" s="142" t="e">
        <f t="shared" si="3"/>
        <v>#N/A</v>
      </c>
      <c r="AW127" s="142" t="e">
        <f t="shared" si="4"/>
        <v>#N/A</v>
      </c>
      <c r="AY127" s="141" t="e">
        <f t="shared" si="5"/>
        <v>#REF!</v>
      </c>
      <c r="AZ127" s="142" t="e">
        <f t="shared" si="6"/>
        <v>#REF!</v>
      </c>
      <c r="BA127" s="142">
        <f t="shared" si="7"/>
        <v>1086723.1573898543</v>
      </c>
      <c r="BB127" s="142" t="e">
        <f t="shared" si="8"/>
        <v>#REF!</v>
      </c>
      <c r="BC127" s="141" t="e">
        <f t="shared" si="9"/>
        <v>#REF!</v>
      </c>
    </row>
    <row r="128" spans="1:58" s="141" customFormat="1">
      <c r="E128" s="142"/>
      <c r="F128" s="142"/>
      <c r="H128" s="188"/>
      <c r="AI128" s="141" t="e">
        <f>MID(#REF!,5,LEN(#REF!)-4)</f>
        <v>#REF!</v>
      </c>
      <c r="AJ128" s="141" t="e">
        <f>#REF!</f>
        <v>#REF!</v>
      </c>
      <c r="AK128" s="141" t="e">
        <f>_xlfn.RANK.EQ(#REF!,#REF!)</f>
        <v>#REF!</v>
      </c>
      <c r="AL128" s="142" t="e">
        <f>#REF!</f>
        <v>#REF!</v>
      </c>
      <c r="AM128" s="185" t="e">
        <f>_xlfn.RANK.EQ(#REF!,#REF!)</f>
        <v>#REF!</v>
      </c>
      <c r="AN128" s="142">
        <v>1519082.7490121739</v>
      </c>
      <c r="AO128" s="141" t="e">
        <f>_xlfn.RANK.EQ(#REF!,#REF!)</f>
        <v>#REF!</v>
      </c>
      <c r="AP128" s="141">
        <v>11</v>
      </c>
      <c r="AQ128" s="142" t="e">
        <f>#REF!</f>
        <v>#REF!</v>
      </c>
      <c r="AR128" s="141">
        <v>14</v>
      </c>
      <c r="AS128" s="141" t="e">
        <f t="shared" si="0"/>
        <v>#N/A</v>
      </c>
      <c r="AT128" s="142" t="e">
        <f t="shared" si="1"/>
        <v>#N/A</v>
      </c>
      <c r="AU128" s="141" t="e">
        <f t="shared" si="2"/>
        <v>#N/A</v>
      </c>
      <c r="AV128" s="142" t="e">
        <f t="shared" si="3"/>
        <v>#N/A</v>
      </c>
      <c r="AW128" s="142" t="e">
        <f t="shared" si="4"/>
        <v>#N/A</v>
      </c>
      <c r="AY128" s="141" t="e">
        <f t="shared" si="5"/>
        <v>#REF!</v>
      </c>
      <c r="AZ128" s="142" t="e">
        <f t="shared" si="6"/>
        <v>#REF!</v>
      </c>
      <c r="BA128" s="142">
        <f t="shared" si="7"/>
        <v>1164835.6668113193</v>
      </c>
      <c r="BB128" s="142" t="e">
        <f t="shared" si="8"/>
        <v>#REF!</v>
      </c>
      <c r="BC128" s="141" t="e">
        <f t="shared" si="9"/>
        <v>#REF!</v>
      </c>
      <c r="BE128" s="12"/>
      <c r="BF128" s="12"/>
    </row>
    <row r="129" spans="5:58" s="141" customFormat="1">
      <c r="E129" s="142"/>
      <c r="F129" s="142"/>
      <c r="H129" s="176"/>
      <c r="AI129" s="141" t="e">
        <f>MID(#REF!,5,LEN(#REF!)-4)</f>
        <v>#REF!</v>
      </c>
      <c r="AJ129" s="141" t="e">
        <f>#REF!</f>
        <v>#REF!</v>
      </c>
      <c r="AK129" s="141" t="e">
        <f>_xlfn.RANK.EQ(#REF!,#REF!)</f>
        <v>#REF!</v>
      </c>
      <c r="AL129" s="142" t="e">
        <f>#REF!</f>
        <v>#REF!</v>
      </c>
      <c r="AM129" s="185" t="e">
        <f>_xlfn.RANK.EQ(#REF!,#REF!)</f>
        <v>#REF!</v>
      </c>
      <c r="AN129" s="142">
        <v>1248429.755841308</v>
      </c>
      <c r="AO129" s="141" t="e">
        <f>_xlfn.RANK.EQ(#REF!,#REF!)</f>
        <v>#REF!</v>
      </c>
      <c r="AP129" s="141">
        <v>12</v>
      </c>
      <c r="AQ129" s="142" t="e">
        <f>#REF!</f>
        <v>#REF!</v>
      </c>
      <c r="AR129" s="141">
        <v>15</v>
      </c>
      <c r="AS129" s="141" t="e">
        <f t="shared" si="0"/>
        <v>#N/A</v>
      </c>
      <c r="AT129" s="142" t="e">
        <f t="shared" si="1"/>
        <v>#N/A</v>
      </c>
      <c r="AU129" s="141" t="e">
        <f t="shared" si="2"/>
        <v>#N/A</v>
      </c>
      <c r="AV129" s="142" t="e">
        <f t="shared" si="3"/>
        <v>#N/A</v>
      </c>
      <c r="AW129" s="142" t="e">
        <f t="shared" si="4"/>
        <v>#N/A</v>
      </c>
      <c r="AY129" s="141" t="e">
        <f t="shared" si="5"/>
        <v>#REF!</v>
      </c>
      <c r="AZ129" s="142" t="e">
        <f t="shared" si="6"/>
        <v>#REF!</v>
      </c>
      <c r="BA129" s="142">
        <f t="shared" si="7"/>
        <v>945572.48247036524</v>
      </c>
      <c r="BB129" s="142" t="e">
        <f t="shared" si="8"/>
        <v>#REF!</v>
      </c>
      <c r="BC129" s="141" t="e">
        <f t="shared" si="9"/>
        <v>#REF!</v>
      </c>
      <c r="BE129" s="12"/>
      <c r="BF129" s="12"/>
    </row>
    <row r="130" spans="5:58">
      <c r="E130" s="140"/>
      <c r="F130" s="140"/>
      <c r="H130" s="176"/>
      <c r="AI130" s="141" t="e">
        <f>MID(#REF!,5,LEN(#REF!)-4)</f>
        <v>#REF!</v>
      </c>
      <c r="AJ130" s="141" t="e">
        <f>#REF!</f>
        <v>#REF!</v>
      </c>
      <c r="AK130" s="141" t="e">
        <f>_xlfn.RANK.EQ(#REF!,#REF!)</f>
        <v>#REF!</v>
      </c>
      <c r="AL130" s="142" t="e">
        <f>#REF!</f>
        <v>#REF!</v>
      </c>
      <c r="AM130" s="185" t="e">
        <f>_xlfn.RANK.EQ(#REF!,#REF!)</f>
        <v>#REF!</v>
      </c>
      <c r="AN130" s="142">
        <v>1164835.6668113193</v>
      </c>
      <c r="AO130" s="141" t="e">
        <f>_xlfn.RANK.EQ(#REF!,#REF!)</f>
        <v>#REF!</v>
      </c>
      <c r="AP130" s="141">
        <v>14</v>
      </c>
      <c r="AQ130" s="142" t="e">
        <f>#REF!</f>
        <v>#REF!</v>
      </c>
      <c r="AR130" s="141">
        <v>16</v>
      </c>
      <c r="AS130" s="141" t="e">
        <f t="shared" si="0"/>
        <v>#N/A</v>
      </c>
      <c r="AT130" s="142" t="e">
        <f t="shared" si="1"/>
        <v>#N/A</v>
      </c>
      <c r="AU130" s="141" t="e">
        <f t="shared" si="2"/>
        <v>#N/A</v>
      </c>
      <c r="AV130" s="142" t="e">
        <f t="shared" si="3"/>
        <v>#N/A</v>
      </c>
      <c r="AW130" s="142" t="e">
        <f t="shared" si="4"/>
        <v>#N/A</v>
      </c>
      <c r="AY130" s="141" t="e">
        <f t="shared" si="5"/>
        <v>#REF!</v>
      </c>
      <c r="AZ130" s="142" t="e">
        <f t="shared" si="6"/>
        <v>#REF!</v>
      </c>
      <c r="BA130" s="142">
        <f t="shared" si="7"/>
        <v>1096315.9217047712</v>
      </c>
      <c r="BB130" s="142" t="e">
        <f t="shared" si="8"/>
        <v>#REF!</v>
      </c>
      <c r="BC130" s="141" t="e">
        <f t="shared" si="9"/>
        <v>#REF!</v>
      </c>
      <c r="BE130" s="141"/>
      <c r="BF130" s="141"/>
    </row>
    <row r="131" spans="5:58">
      <c r="E131" s="140"/>
      <c r="F131" s="140"/>
      <c r="H131" s="176"/>
      <c r="AI131" s="141" t="e">
        <f>MID(#REF!,5,LEN(#REF!)-4)</f>
        <v>#REF!</v>
      </c>
      <c r="AJ131" s="141" t="e">
        <f>#REF!</f>
        <v>#REF!</v>
      </c>
      <c r="AK131" s="141" t="e">
        <f>_xlfn.RANK.EQ(#REF!,#REF!)</f>
        <v>#REF!</v>
      </c>
      <c r="AL131" s="142" t="e">
        <f>#REF!</f>
        <v>#REF!</v>
      </c>
      <c r="AM131" s="185" t="e">
        <f>_xlfn.RANK.EQ(#REF!,#REF!)</f>
        <v>#REF!</v>
      </c>
      <c r="AN131" s="142">
        <v>2110408.1492816843</v>
      </c>
      <c r="AO131" s="141" t="e">
        <f>_xlfn.RANK.EQ(#REF!,#REF!)</f>
        <v>#REF!</v>
      </c>
      <c r="AP131" s="141">
        <v>2</v>
      </c>
      <c r="AQ131" s="142" t="e">
        <f>#REF!</f>
        <v>#REF!</v>
      </c>
      <c r="AR131" s="141">
        <v>17</v>
      </c>
      <c r="AS131" s="141" t="e">
        <f t="shared" si="0"/>
        <v>#N/A</v>
      </c>
      <c r="AT131" s="142" t="e">
        <f t="shared" si="1"/>
        <v>#N/A</v>
      </c>
      <c r="AU131" s="141" t="e">
        <f t="shared" si="2"/>
        <v>#N/A</v>
      </c>
      <c r="AV131" s="142" t="e">
        <f t="shared" si="3"/>
        <v>#N/A</v>
      </c>
      <c r="AW131" s="142" t="e">
        <f t="shared" si="4"/>
        <v>#N/A</v>
      </c>
      <c r="AY131" s="141" t="e">
        <f t="shared" si="5"/>
        <v>#REF!</v>
      </c>
      <c r="AZ131" s="142" t="e">
        <f t="shared" si="6"/>
        <v>#REF!</v>
      </c>
      <c r="BA131" s="142">
        <f t="shared" si="7"/>
        <v>856496.8138318524</v>
      </c>
      <c r="BB131" s="142" t="e">
        <f t="shared" si="8"/>
        <v>#REF!</v>
      </c>
      <c r="BC131" s="141" t="e">
        <f t="shared" si="9"/>
        <v>#REF!</v>
      </c>
      <c r="BE131" s="141"/>
      <c r="BF131" s="141"/>
    </row>
    <row r="132" spans="5:58">
      <c r="E132" s="140"/>
      <c r="F132" s="140"/>
      <c r="AI132" s="141" t="e">
        <f>MID(#REF!,5,LEN(#REF!)-4)</f>
        <v>#REF!</v>
      </c>
      <c r="AJ132" s="141" t="e">
        <f>#REF!</f>
        <v>#REF!</v>
      </c>
      <c r="AK132" s="141" t="e">
        <f>_xlfn.RANK.EQ(#REF!,#REF!)</f>
        <v>#REF!</v>
      </c>
      <c r="AL132" s="142" t="e">
        <f>#REF!</f>
        <v>#REF!</v>
      </c>
      <c r="AM132" s="185" t="e">
        <f>_xlfn.RANK.EQ(#REF!,#REF!)</f>
        <v>#REF!</v>
      </c>
      <c r="AN132" s="142">
        <v>1918552.8629833497</v>
      </c>
      <c r="AO132" s="141" t="e">
        <f>_xlfn.RANK.EQ(#REF!,#REF!)</f>
        <v>#REF!</v>
      </c>
      <c r="AP132" s="141">
        <v>6</v>
      </c>
      <c r="AQ132" s="142" t="e">
        <f>#REF!</f>
        <v>#REF!</v>
      </c>
      <c r="AR132" s="141">
        <v>18</v>
      </c>
      <c r="AS132" s="141" t="e">
        <f t="shared" si="0"/>
        <v>#N/A</v>
      </c>
      <c r="AT132" s="142" t="e">
        <f t="shared" si="1"/>
        <v>#N/A</v>
      </c>
      <c r="AU132" s="141" t="e">
        <f t="shared" si="2"/>
        <v>#N/A</v>
      </c>
      <c r="AV132" s="142" t="e">
        <f t="shared" si="3"/>
        <v>#N/A</v>
      </c>
      <c r="AW132" s="142" t="e">
        <f t="shared" si="4"/>
        <v>#N/A</v>
      </c>
      <c r="AY132" s="141" t="e">
        <f t="shared" si="5"/>
        <v>#REF!</v>
      </c>
      <c r="AZ132" s="142" t="e">
        <f t="shared" si="6"/>
        <v>#REF!</v>
      </c>
      <c r="BA132" s="142">
        <f t="shared" si="7"/>
        <v>810588.58461046522</v>
      </c>
      <c r="BB132" s="142" t="e">
        <f t="shared" si="8"/>
        <v>#REF!</v>
      </c>
      <c r="BC132" s="141" t="e">
        <f t="shared" si="9"/>
        <v>#REF!</v>
      </c>
      <c r="BE132" s="141"/>
      <c r="BF132" s="141"/>
    </row>
    <row r="133" spans="5:58">
      <c r="E133" s="140"/>
      <c r="F133" s="140"/>
      <c r="AI133" s="141" t="e">
        <f>MID(#REF!,5,LEN(#REF!)-4)</f>
        <v>#REF!</v>
      </c>
      <c r="AJ133" s="141" t="e">
        <f>#REF!</f>
        <v>#REF!</v>
      </c>
      <c r="AK133" s="141" t="e">
        <f>_xlfn.RANK.EQ(#REF!,#REF!)</f>
        <v>#REF!</v>
      </c>
      <c r="AL133" s="142" t="e">
        <f>#REF!</f>
        <v>#REF!</v>
      </c>
      <c r="AM133" s="185" t="e">
        <f>_xlfn.RANK.EQ(#REF!,#REF!)</f>
        <v>#REF!</v>
      </c>
      <c r="AN133" s="142">
        <v>1884292.9904300752</v>
      </c>
      <c r="AO133" s="141" t="e">
        <f>_xlfn.RANK.EQ(#REF!,#REF!)</f>
        <v>#REF!</v>
      </c>
      <c r="AP133" s="141">
        <v>7</v>
      </c>
      <c r="AQ133" s="142" t="e">
        <f>#REF!</f>
        <v>#REF!</v>
      </c>
      <c r="AR133" s="141">
        <v>19</v>
      </c>
      <c r="AS133" s="141" t="e">
        <f t="shared" si="0"/>
        <v>#N/A</v>
      </c>
      <c r="AT133" s="142" t="e">
        <f t="shared" si="1"/>
        <v>#N/A</v>
      </c>
      <c r="AU133" s="141" t="e">
        <f t="shared" si="2"/>
        <v>#N/A</v>
      </c>
      <c r="AV133" s="142" t="e">
        <f t="shared" si="3"/>
        <v>#N/A</v>
      </c>
      <c r="AW133" s="142" t="e">
        <f t="shared" si="4"/>
        <v>#N/A</v>
      </c>
      <c r="AY133" s="141" t="e">
        <f t="shared" si="5"/>
        <v>#REF!</v>
      </c>
      <c r="AZ133" s="142" t="e">
        <f t="shared" si="6"/>
        <v>#REF!</v>
      </c>
      <c r="BA133" s="142">
        <f t="shared" si="7"/>
        <v>1018203.4122833062</v>
      </c>
      <c r="BB133" s="142" t="e">
        <f t="shared" si="8"/>
        <v>#REF!</v>
      </c>
      <c r="BC133" s="141" t="e">
        <f t="shared" si="9"/>
        <v>#REF!</v>
      </c>
      <c r="BE133" s="141"/>
      <c r="BF133" s="141"/>
    </row>
    <row r="134" spans="5:58">
      <c r="E134" s="140"/>
      <c r="F134" s="140"/>
      <c r="AI134" s="141" t="e">
        <f>MID(#REF!,5,LEN(#REF!)-4)</f>
        <v>#REF!</v>
      </c>
      <c r="AJ134" s="141" t="e">
        <f>#REF!</f>
        <v>#REF!</v>
      </c>
      <c r="AK134" s="141" t="e">
        <f>_xlfn.RANK.EQ(#REF!,#REF!)</f>
        <v>#REF!</v>
      </c>
      <c r="AL134" s="142" t="e">
        <f>#REF!</f>
        <v>#REF!</v>
      </c>
      <c r="AM134" s="185" t="e">
        <f>_xlfn.RANK.EQ(#REF!,#REF!)</f>
        <v>#REF!</v>
      </c>
      <c r="AN134" s="142">
        <v>1627343.9462805197</v>
      </c>
      <c r="AO134" s="141" t="e">
        <f>_xlfn.RANK.EQ(#REF!,#REF!)</f>
        <v>#REF!</v>
      </c>
      <c r="AP134" s="141">
        <v>8</v>
      </c>
      <c r="AQ134" s="142" t="e">
        <f>#REF!</f>
        <v>#REF!</v>
      </c>
      <c r="AR134" s="141">
        <v>20</v>
      </c>
      <c r="AS134" s="141" t="e">
        <f t="shared" si="0"/>
        <v>#N/A</v>
      </c>
      <c r="AT134" s="142" t="e">
        <f t="shared" si="1"/>
        <v>#N/A</v>
      </c>
      <c r="AU134" s="141" t="e">
        <f t="shared" si="2"/>
        <v>#N/A</v>
      </c>
      <c r="AV134" s="142" t="e">
        <f t="shared" si="3"/>
        <v>#N/A</v>
      </c>
      <c r="AW134" s="142" t="e">
        <f t="shared" si="4"/>
        <v>#N/A</v>
      </c>
      <c r="AY134" s="141" t="e">
        <f t="shared" si="5"/>
        <v>#REF!</v>
      </c>
      <c r="AZ134" s="142" t="e">
        <f t="shared" si="6"/>
        <v>#REF!</v>
      </c>
      <c r="BA134" s="142">
        <f t="shared" si="7"/>
        <v>742068.83950391703</v>
      </c>
      <c r="BB134" s="142" t="e">
        <f t="shared" si="8"/>
        <v>#REF!</v>
      </c>
      <c r="BC134" s="141" t="e">
        <f t="shared" si="9"/>
        <v>#REF!</v>
      </c>
      <c r="BE134" s="141"/>
      <c r="BF134" s="141"/>
    </row>
    <row r="135" spans="5:58">
      <c r="E135" s="140"/>
      <c r="F135" s="140"/>
      <c r="AI135" s="141" t="e">
        <f>MID(#REF!,5,LEN(#REF!)-4)</f>
        <v>#REF!</v>
      </c>
      <c r="AJ135" s="141" t="e">
        <f>#REF!</f>
        <v>#REF!</v>
      </c>
      <c r="AK135" s="141" t="e">
        <f>_xlfn.RANK.EQ(#REF!,#REF!)</f>
        <v>#REF!</v>
      </c>
      <c r="AL135" s="142" t="e">
        <f>#REF!</f>
        <v>#REF!</v>
      </c>
      <c r="AM135" s="185" t="e">
        <f>_xlfn.RANK.EQ(#REF!,#REF!)</f>
        <v>#REF!</v>
      </c>
      <c r="AN135" s="142">
        <v>945572.48247036524</v>
      </c>
      <c r="AO135" s="141" t="e">
        <f>_xlfn.RANK.EQ(#REF!,#REF!)</f>
        <v>#REF!</v>
      </c>
      <c r="AP135" s="141">
        <v>15</v>
      </c>
      <c r="AQ135" s="142" t="e">
        <f>#REF!</f>
        <v>#REF!</v>
      </c>
      <c r="AR135" s="141">
        <v>21</v>
      </c>
      <c r="AS135" s="141" t="e">
        <f t="shared" si="0"/>
        <v>#N/A</v>
      </c>
      <c r="AT135" s="142" t="e">
        <f t="shared" si="1"/>
        <v>#N/A</v>
      </c>
      <c r="AU135" s="141" t="e">
        <f t="shared" si="2"/>
        <v>#N/A</v>
      </c>
      <c r="AV135" s="142" t="e">
        <f t="shared" si="3"/>
        <v>#N/A</v>
      </c>
      <c r="AW135" s="142" t="e">
        <f t="shared" si="4"/>
        <v>#N/A</v>
      </c>
      <c r="AY135" s="141" t="e">
        <f t="shared" si="5"/>
        <v>#REF!</v>
      </c>
      <c r="AZ135" s="142" t="e">
        <f t="shared" si="6"/>
        <v>#REF!</v>
      </c>
      <c r="BA135" s="142">
        <f t="shared" si="7"/>
        <v>822236.94127857836</v>
      </c>
      <c r="BB135" s="142" t="e">
        <f t="shared" si="8"/>
        <v>#REF!</v>
      </c>
      <c r="BC135" s="141" t="e">
        <f t="shared" si="9"/>
        <v>#REF!</v>
      </c>
      <c r="BE135" s="141"/>
      <c r="BF135" s="141"/>
    </row>
    <row r="136" spans="5:58">
      <c r="E136" s="140"/>
      <c r="F136" s="140"/>
    </row>
    <row r="137" spans="5:58">
      <c r="E137" s="140"/>
      <c r="F137" s="140"/>
    </row>
    <row r="138" spans="5:58">
      <c r="E138" s="140"/>
      <c r="F138" s="140"/>
      <c r="AS138" s="12">
        <v>1</v>
      </c>
      <c r="AT138" s="12" t="s">
        <v>99</v>
      </c>
    </row>
    <row r="139" spans="5:58">
      <c r="E139" s="140"/>
      <c r="F139" s="140"/>
      <c r="AS139" s="12">
        <v>2</v>
      </c>
      <c r="AT139" s="12" t="s">
        <v>129</v>
      </c>
    </row>
    <row r="140" spans="5:58">
      <c r="E140" s="140"/>
      <c r="F140" s="140"/>
      <c r="AS140" s="12">
        <v>3</v>
      </c>
      <c r="AT140" s="12" t="s">
        <v>92</v>
      </c>
    </row>
    <row r="141" spans="5:58">
      <c r="E141" s="140"/>
      <c r="F141" s="140"/>
      <c r="AS141" s="12">
        <v>4</v>
      </c>
      <c r="AT141" s="12" t="s">
        <v>84</v>
      </c>
    </row>
    <row r="142" spans="5:58">
      <c r="E142" s="140"/>
      <c r="AS142" s="12">
        <v>5</v>
      </c>
      <c r="AT142" s="12" t="s">
        <v>78</v>
      </c>
    </row>
    <row r="143" spans="5:58">
      <c r="E143" s="140"/>
      <c r="AS143" s="12">
        <v>6</v>
      </c>
      <c r="AT143" s="12" t="s">
        <v>134</v>
      </c>
    </row>
    <row r="144" spans="5:58">
      <c r="E144" s="140"/>
      <c r="AS144" s="12">
        <v>7</v>
      </c>
      <c r="AT144" s="12" t="s">
        <v>137</v>
      </c>
    </row>
    <row r="145" spans="5:46">
      <c r="E145" s="140"/>
      <c r="AS145" s="12">
        <v>8</v>
      </c>
      <c r="AT145" s="12" t="s">
        <v>139</v>
      </c>
    </row>
    <row r="146" spans="5:46">
      <c r="E146" s="140"/>
      <c r="AS146" s="12">
        <v>9</v>
      </c>
      <c r="AT146" s="12" t="s">
        <v>48</v>
      </c>
    </row>
    <row r="147" spans="5:46">
      <c r="E147" s="140"/>
      <c r="AS147" s="12">
        <v>10</v>
      </c>
      <c r="AT147" s="12" t="s">
        <v>17</v>
      </c>
    </row>
    <row r="148" spans="5:46">
      <c r="E148" s="140"/>
      <c r="AS148" s="12">
        <v>11</v>
      </c>
      <c r="AT148" s="12" t="s">
        <v>106</v>
      </c>
    </row>
    <row r="149" spans="5:46">
      <c r="E149" s="140"/>
      <c r="AS149" s="12">
        <v>12</v>
      </c>
      <c r="AT149" s="12" t="s">
        <v>113</v>
      </c>
    </row>
    <row r="150" spans="5:46">
      <c r="E150" s="140"/>
      <c r="AS150" s="12">
        <v>13</v>
      </c>
      <c r="AT150" s="12" t="s">
        <v>24</v>
      </c>
    </row>
    <row r="151" spans="5:46">
      <c r="E151" s="140"/>
      <c r="AS151" s="12">
        <v>14</v>
      </c>
      <c r="AT151" s="12" t="s">
        <v>122</v>
      </c>
    </row>
    <row r="152" spans="5:46">
      <c r="E152" s="140"/>
      <c r="AS152" s="12">
        <v>15</v>
      </c>
      <c r="AT152" s="12" t="s">
        <v>147</v>
      </c>
    </row>
    <row r="153" spans="5:46">
      <c r="E153" s="140"/>
      <c r="AS153" s="12">
        <v>16</v>
      </c>
      <c r="AT153" s="12" t="s">
        <v>62</v>
      </c>
    </row>
    <row r="154" spans="5:46">
      <c r="E154" s="140"/>
      <c r="AS154" s="12">
        <v>17</v>
      </c>
      <c r="AT154" s="12" t="s">
        <v>55</v>
      </c>
    </row>
    <row r="155" spans="5:46">
      <c r="E155" s="140"/>
      <c r="AS155" s="12">
        <v>18</v>
      </c>
      <c r="AT155" s="12" t="s">
        <v>34</v>
      </c>
    </row>
    <row r="156" spans="5:46">
      <c r="E156" s="140"/>
      <c r="AS156" s="12">
        <v>19</v>
      </c>
      <c r="AT156" s="12" t="s">
        <v>70</v>
      </c>
    </row>
    <row r="157" spans="5:46">
      <c r="E157" s="140"/>
      <c r="AS157" s="12">
        <v>20</v>
      </c>
      <c r="AT157" s="12" t="s">
        <v>29</v>
      </c>
    </row>
    <row r="158" spans="5:46">
      <c r="E158" s="140"/>
      <c r="AS158" s="12">
        <v>21</v>
      </c>
      <c r="AT158" s="12" t="s">
        <v>41</v>
      </c>
    </row>
    <row r="159" spans="5:46">
      <c r="E159" s="140"/>
    </row>
    <row r="160" spans="5:46">
      <c r="E160" s="140"/>
    </row>
    <row r="161" spans="5:5">
      <c r="E161" s="140"/>
    </row>
    <row r="162" spans="5:5">
      <c r="E162" s="140"/>
    </row>
    <row r="163" spans="5:5">
      <c r="E163" s="140"/>
    </row>
    <row r="164" spans="5:5">
      <c r="E164" s="140"/>
    </row>
    <row r="165" spans="5:5">
      <c r="E165" s="140"/>
    </row>
    <row r="166" spans="5:5">
      <c r="E166" s="140"/>
    </row>
    <row r="167" spans="5:5">
      <c r="E167" s="140"/>
    </row>
    <row r="168" spans="5:5">
      <c r="E168" s="140"/>
    </row>
    <row r="169" spans="5:5">
      <c r="E169" s="140"/>
    </row>
    <row r="170" spans="5:5">
      <c r="E170" s="140"/>
    </row>
    <row r="171" spans="5:5">
      <c r="E171" s="140"/>
    </row>
    <row r="172" spans="5:5">
      <c r="E172" s="140"/>
    </row>
    <row r="173" spans="5:5">
      <c r="E173" s="140"/>
    </row>
    <row r="174" spans="5:5">
      <c r="E174" s="140"/>
    </row>
    <row r="175" spans="5:5">
      <c r="E175" s="140"/>
    </row>
    <row r="176" spans="5:5">
      <c r="E176" s="140"/>
    </row>
    <row r="177" spans="5:5">
      <c r="E177" s="140"/>
    </row>
    <row r="178" spans="5:5">
      <c r="E178" s="140"/>
    </row>
    <row r="179" spans="5:5">
      <c r="E179" s="140"/>
    </row>
    <row r="180" spans="5:5">
      <c r="E180" s="140"/>
    </row>
    <row r="181" spans="5:5">
      <c r="E181" s="140"/>
    </row>
    <row r="182" spans="5:5">
      <c r="E182" s="140"/>
    </row>
    <row r="183" spans="5:5">
      <c r="E183" s="140"/>
    </row>
    <row r="184" spans="5:5">
      <c r="E184" s="140"/>
    </row>
    <row r="185" spans="5:5">
      <c r="E185" s="140"/>
    </row>
    <row r="186" spans="5:5">
      <c r="E186" s="140"/>
    </row>
    <row r="187" spans="5:5">
      <c r="E187" s="140"/>
    </row>
    <row r="188" spans="5:5">
      <c r="E188" s="140"/>
    </row>
    <row r="189" spans="5:5">
      <c r="E189" s="140"/>
    </row>
    <row r="190" spans="5:5">
      <c r="E190" s="140"/>
    </row>
    <row r="191" spans="5:5">
      <c r="E191" s="140"/>
    </row>
    <row r="192" spans="5:5">
      <c r="E192" s="140"/>
    </row>
    <row r="193" spans="5:5">
      <c r="E193" s="140"/>
    </row>
    <row r="194" spans="5:5">
      <c r="E194" s="140"/>
    </row>
    <row r="195" spans="5:5">
      <c r="E195" s="140"/>
    </row>
    <row r="196" spans="5:5">
      <c r="E196" s="140"/>
    </row>
    <row r="197" spans="5:5">
      <c r="E197" s="140"/>
    </row>
    <row r="198" spans="5:5">
      <c r="E198" s="140"/>
    </row>
    <row r="199" spans="5:5">
      <c r="E199" s="140"/>
    </row>
    <row r="200" spans="5:5">
      <c r="E200" s="140"/>
    </row>
    <row r="201" spans="5:5">
      <c r="E201" s="140"/>
    </row>
    <row r="202" spans="5:5">
      <c r="E202" s="140"/>
    </row>
    <row r="203" spans="5:5">
      <c r="E203" s="140"/>
    </row>
    <row r="204" spans="5:5">
      <c r="E204" s="140"/>
    </row>
    <row r="205" spans="5:5">
      <c r="E205" s="140"/>
    </row>
    <row r="206" spans="5:5">
      <c r="E206" s="140"/>
    </row>
    <row r="207" spans="5:5">
      <c r="E207" s="140"/>
    </row>
    <row r="208" spans="5:5">
      <c r="E208" s="140"/>
    </row>
    <row r="209" spans="5:5">
      <c r="E209" s="140"/>
    </row>
    <row r="210" spans="5:5">
      <c r="E210" s="140"/>
    </row>
    <row r="211" spans="5:5">
      <c r="E211" s="140"/>
    </row>
    <row r="212" spans="5:5">
      <c r="E212" s="140"/>
    </row>
    <row r="213" spans="5:5">
      <c r="E213" s="140"/>
    </row>
    <row r="214" spans="5:5">
      <c r="E214" s="140"/>
    </row>
    <row r="215" spans="5:5">
      <c r="E215" s="140"/>
    </row>
    <row r="216" spans="5:5">
      <c r="E216" s="140"/>
    </row>
    <row r="217" spans="5:5">
      <c r="E217" s="140"/>
    </row>
    <row r="218" spans="5:5">
      <c r="E218" s="140"/>
    </row>
    <row r="219" spans="5:5">
      <c r="E219" s="140"/>
    </row>
    <row r="220" spans="5:5">
      <c r="E220" s="140"/>
    </row>
    <row r="221" spans="5:5">
      <c r="E221" s="140"/>
    </row>
    <row r="222" spans="5:5">
      <c r="E222" s="140"/>
    </row>
  </sheetData>
  <sheetProtection selectLockedCells="1" selectUnlockedCells="1"/>
  <sortState xmlns:xlrd2="http://schemas.microsoft.com/office/spreadsheetml/2017/richdata2" ref="BE115:BF135">
    <sortCondition descending="1" ref="BF115:BF135"/>
  </sortState>
  <mergeCells count="6">
    <mergeCell ref="K37:O37"/>
    <mergeCell ref="P37:T37"/>
    <mergeCell ref="T114:U114"/>
    <mergeCell ref="Y114:Z114"/>
    <mergeCell ref="AU114:AV114"/>
    <mergeCell ref="AS114:AT114"/>
  </mergeCells>
  <conditionalFormatting sqref="B86:S103">
    <cfRule type="colorScale" priority="1">
      <colorScale>
        <cfvo type="min"/>
        <cfvo type="num" val="0"/>
        <cfvo type="max"/>
        <color theme="9"/>
        <color theme="0"/>
        <color theme="9"/>
      </colorScale>
    </cfRule>
  </conditionalFormatting>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Introducción</vt:lpstr>
      <vt:lpstr>Modelo AHP</vt:lpstr>
      <vt:lpstr>Índices y Ranking Barrios </vt:lpstr>
      <vt:lpstr>Índices y Ranking Barrio Orden</vt:lpstr>
      <vt:lpstr>Mapa Barrios IVR 2020</vt:lpstr>
      <vt:lpstr>Indices por Distritos</vt:lpstr>
      <vt:lpstr>aux</vt:lpstr>
      <vt:lpstr>correla</vt:lpstr>
      <vt:lpstr>Gráficos</vt:lpstr>
      <vt:lpstr>Fuentes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2019-11-11T15:04:20Z</dcterms:created>
  <dcterms:modified xsi:type="dcterms:W3CDTF">2020-12-15T20:48:12Z</dcterms:modified>
</cp:coreProperties>
</file>